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Tony Sinke\Desktop\"/>
    </mc:Choice>
  </mc:AlternateContent>
  <xr:revisionPtr revIDLastSave="0" documentId="13_ncr:1_{68CF53D1-066A-4018-AA23-23048228523A}" xr6:coauthVersionLast="46" xr6:coauthVersionMax="47" xr10:uidLastSave="{00000000-0000-0000-0000-000000000000}"/>
  <workbookProtection workbookAlgorithmName="SHA-512" workbookHashValue="sytKEf+OBThkmORuJvlb8vXnlEaKAGyGOEk0UlLiLf22TFvg7Zu055NEQEjZDtltRGfZOyQhbrItvTK7oKx9mw==" workbookSaltValue="uHPh04dDzcSpq+a8vLXqLw==" workbookSpinCount="100000" lockStructure="1"/>
  <bookViews>
    <workbookView xWindow="28680" yWindow="-120" windowWidth="38640" windowHeight="21240" firstSheet="9" activeTab="10" xr2:uid="{00000000-000D-0000-FFFF-FFFF00000000}"/>
  </bookViews>
  <sheets>
    <sheet name="Stores &amp; Delivery Addresses " sheetId="24" state="hidden" r:id="rId1"/>
    <sheet name="Summary" sheetId="18" state="hidden" r:id="rId2"/>
    <sheet name="25mm Aluminium Blinds" sheetId="13" state="hidden" r:id="rId3"/>
    <sheet name="50mm &amp; 63mm Venetian Blinds" sheetId="14" state="hidden" r:id="rId4"/>
    <sheet name="Roller Blinds" sheetId="8" state="hidden" r:id="rId5"/>
    <sheet name="Vertical Blinds" sheetId="15" state="hidden" r:id="rId6"/>
    <sheet name="Cellular Blinds" sheetId="21" state="hidden" r:id="rId7"/>
    <sheet name="Panel Glide Blinds" sheetId="22" state="hidden" r:id="rId8"/>
    <sheet name="Transition Blinds" sheetId="23" state="hidden" r:id="rId9"/>
    <sheet name="Shutters Page 1" sheetId="5" r:id="rId10"/>
    <sheet name="Shutters Page 2" sheetId="25" r:id="rId11"/>
    <sheet name="Data" sheetId="2" state="hidden" r:id="rId12"/>
    <sheet name="CMB Corner WS" sheetId="19" state="hidden" r:id="rId13"/>
    <sheet name="CMB Bay WS" sheetId="20" state="hidden" r:id="rId14"/>
  </sheets>
  <definedNames>
    <definedName name="_25mm_Single_Cellular_Blind_Blockout_Standard">Data!$SG$2:$SG$15</definedName>
    <definedName name="_25mm_Single_Cellular_Blind_Translucent_Paisley">Data!$SP$2:$SP$6</definedName>
    <definedName name="_25mm_Single_Cellular_Blind_Translucent_Sheer">Data!$SI$2:$SI$6</definedName>
    <definedName name="_25mm_Single_Cellular_Blind_Translucent_Standard">Data!$SE$2:$SE$28</definedName>
    <definedName name="_25mm_Single_Cellular_Blind_Translucent_Thatched">Data!$SO$2:$SO$6</definedName>
    <definedName name="_25mm_Single_Cellular_Blind_Translucent_Woven">Data!$SK$2:$SK$6</definedName>
    <definedName name="_38mm_Double_Cellular_Blind_Blockout_Standard">Data!$SS$2:$SS$4</definedName>
    <definedName name="_38mm_Double_Cellular_Blind_Translucent_Standard">Data!$SR$2:$SR$21</definedName>
    <definedName name="_38mm_Single_Cellular_Blind_Blockout_Standard">Data!$SF$2:$SF$15</definedName>
    <definedName name="_38mm_Single_Cellular_Blind_Translucent_Crush">Data!$SQ$2:$SQ$6</definedName>
    <definedName name="_38mm_Single_Cellular_Blind_Translucent_Linen">Data!$SL$2:$SL$6</definedName>
    <definedName name="_38mm_Single_Cellular_Blind_Translucent_Paisley">Data!$SN$2:$SN$6</definedName>
    <definedName name="_38mm_Single_Cellular_Blind_Translucent_Sheer">Data!$SH$2:$SH$6</definedName>
    <definedName name="_38mm_Single_Cellular_Blind_Translucent_Standard">Data!$SD$2:$SD$28</definedName>
    <definedName name="_38mm_Single_Cellular_Blind_Translucent_Thatched">Data!$SM$2:$SM$6</definedName>
    <definedName name="_38mm_Single_Cellular_Blind_Translucent_Woven">Data!$SJ$2:$SJ$6</definedName>
    <definedName name="ACTNAM">Data!$MR$3:$MR$4</definedName>
    <definedName name="Additional_Fascia_100mm_x_12mm">Data!$FR$23</definedName>
    <definedName name="Additional_Fascia_100mm_x_9.5mm_Material">Data!$FS$2</definedName>
    <definedName name="Additional_Fascia_140mm_x_12mm">Data!$FS$23</definedName>
    <definedName name="Additional_Fascia_140mm_x_9.5mm_Material">Data!$FT$2</definedName>
    <definedName name="Additional_Fascia_60mm_x_12mm">Data!$FT$23</definedName>
    <definedName name="Additional_Fascia_60mm_x_9.5mm_Material">Data!$FU$2</definedName>
    <definedName name="Additional_Headboard_100mm_x_19mm_Material">Data!$FV$2</definedName>
    <definedName name="Additional_Headboard_100mm_x_20mm">Data!$FU$23</definedName>
    <definedName name="Additional_Headboard_140mm_x_19mm_Material">Data!$FR$2</definedName>
    <definedName name="Additional_Headboard_140mm_x_20mm">Data!$FV$23</definedName>
    <definedName name="Additional_Headboard_180mm_x_19mm_Material">Data!$FW$2</definedName>
    <definedName name="Additional_Headboard_180mm_x_20mm">Data!$FW$23</definedName>
    <definedName name="Additional_Headboard_220mm_x_19mm_Material">Data!$FX$2</definedName>
    <definedName name="Additional_Headboard_220mm_x_20mm">Data!$FX$23</definedName>
    <definedName name="Air_Double_Hinged_Frame_Type">Data!$FK$35:$FK$38</definedName>
    <definedName name="Air_Hinged_Frame_TypeIN">Data!$FJ$35:$FJ$36</definedName>
    <definedName name="Air_Hinged_Frame_TypeOUT">Data!$FJ$47</definedName>
    <definedName name="AirHardware">Data!$HX$96:$HX$100</definedName>
    <definedName name="AirHingeColour">Data!$AAE$44:$AAE$46</definedName>
    <definedName name="AirSpecialComments">Data!$EN$48:$EN$58</definedName>
    <definedName name="AlumColours">Data!$AN$2:$AN$18</definedName>
    <definedName name="Amalfi">Data!$PB$2:$PB$6</definedName>
    <definedName name="AntiqueWhiteW140">Data!$HC$3:$HC$5</definedName>
    <definedName name="B1_Colour">'Transition Blinds'!$BZ$8:$BZ$32</definedName>
    <definedName name="B10_Colour">'Transition Blinds'!$CA$8:$CA$19</definedName>
    <definedName name="Bi_Fold_Bolt_Ring">Data!$HZ$10</definedName>
    <definedName name="Bi_Fold_Bottom_Fixed_Pivot_Bracket_Pin">Data!$HZ$3</definedName>
    <definedName name="Bi_Fold_Flush_Bolt_Timber_Only">Data!$HZ$10</definedName>
    <definedName name="Bi_Fold_Frame_60mm_x_12mm">Data!$GN$23</definedName>
    <definedName name="Bi_Fold_Frame_60mm_x_9.5mm_Material">Data!$FY$2</definedName>
    <definedName name="Bi_Fold_Magnets">Data!$HZ$18</definedName>
    <definedName name="Bi_Fold_Pull_Ring_Timber_Only">Data!$IA$10</definedName>
    <definedName name="BiFoldFauxwoodHingeNew">Data!$AAH$24:$AAH$27</definedName>
    <definedName name="BiFoldTimberPaintedHingeNew">Data!$AAI$24:$AAI$28</definedName>
    <definedName name="BiFoldTimberStainedHingeNew">Data!$AAJ$24:$AAJ$27</definedName>
    <definedName name="BL1_Colour">'Transition Blinds'!$CB$8:$CB$21</definedName>
    <definedName name="BL11_Colour">'Transition Blinds'!$CC$8:$CC$12</definedName>
    <definedName name="BL2_Colour">'Transition Blinds'!$CD$8:$CD$20</definedName>
    <definedName name="BL9_Colour">'Transition Blinds'!$CE$8:$CE$20</definedName>
    <definedName name="BlackWalnutW920">Data!$HM$3:$HM$4</definedName>
    <definedName name="BlindType">Data!$MN$3:$MN$7</definedName>
    <definedName name="Bottom_Pivot_Pin_For_Bi_Fold_Sliding_Panel">Data!$IA$3</definedName>
    <definedName name="Bottom_Rail_Colour">'Transition Blinds'!$BH$8:$BH$14</definedName>
    <definedName name="BottomFrameBullnoseZFrame">Data!$NY$16:$NY$19</definedName>
    <definedName name="BottomFrameHangingStrip">Data!$NP$16:$NP$18</definedName>
    <definedName name="BottomFrameLargeBullnoseZFrame">Data!$OG$16:$OG$19</definedName>
    <definedName name="BottomFrameLargeFFLFrame">Data!$NV$16:$NV$18</definedName>
    <definedName name="BottomFrameLargeLFrame">Data!$NU$16:$NU$18</definedName>
    <definedName name="BottomFrameLargeZFrame">Data!$NX$16:$NX$19</definedName>
    <definedName name="BottomFrameMediumFFLFrame">Data!$NT$16:$NT$18</definedName>
    <definedName name="BottomFrameMediumFFLFrameFlat">Data!$OH$16:$OH$18</definedName>
    <definedName name="BottomFrameMediumLFrame">Data!$NS$16:$NS$18</definedName>
    <definedName name="BottomFrameNA">Data!$OC$16</definedName>
    <definedName name="BottomFrameNoFrame">Data!$NO$16:$NO$18</definedName>
    <definedName name="BottomFrameSliding">Data!$OA$16:$OA$19</definedName>
    <definedName name="BottomFrameSmallFFLFrame">Data!$NR$16:$NR$18</definedName>
    <definedName name="BottomFrameSmallLFrame">Data!$NQ$16:$NQ$18</definedName>
    <definedName name="BottomFrameStandardZFrame">Data!$NW$16:$NW$19</definedName>
    <definedName name="BottomFrameTrack">Data!$CJ$3:$CJ$10</definedName>
    <definedName name="BottomFrameTrackBiFold">Data!$OB$16:$OB$18</definedName>
    <definedName name="BottomFrameUChannel">Data!$NZ$16</definedName>
    <definedName name="BottomSlidingBottomWheelFrame">Data!$OD$16:$OD$17</definedName>
    <definedName name="Bracket_Type">Data!$KK$2:$KK$5</definedName>
    <definedName name="Bullnose_Z_Frame_Material">Data!$FZ$2:$FZ$3</definedName>
    <definedName name="Bumper_Stop">Data!$IB$3</definedName>
    <definedName name="ButtThru">Data!$MS$3:$MS$4</definedName>
    <definedName name="Carrier_Bracket_For_Bi_Fold_Sliding_Panel">Data!$IC$3</definedName>
    <definedName name="CAT_GROUP_35_2234">Data!$S$1:$S$2</definedName>
    <definedName name="CAT_GROUP_35_2236">Data!$S$3:$S$4</definedName>
    <definedName name="CAT_GROUP_35_2237">Data!$S$5:$S$6</definedName>
    <definedName name="CAT_GROUP_35_2238">Data!$S$7:$S$8</definedName>
    <definedName name="CAT_GROUP_35_2295">Data!$S$9:$S$10</definedName>
    <definedName name="CAT_GROUP_35_2297">Data!$S$11:$S$16</definedName>
    <definedName name="CAT_GROUP_35_2317">Data!$S$17:$S$20</definedName>
    <definedName name="CAT_GROUP_36_2277">Data!$S$21:$S$22</definedName>
    <definedName name="CAT_GROUP_36_2278">Data!$S$23:$S$24</definedName>
    <definedName name="CAT_GROUP_36_2280">Data!$S$25:$S$26</definedName>
    <definedName name="CAT_GROUP_36_2281">Data!$S$27:$S$28</definedName>
    <definedName name="CAT_GROUP_36_2294">Data!$S$29:$S$30</definedName>
    <definedName name="CAT_GROUP_36_2299">Data!$S$31:$S$36</definedName>
    <definedName name="CAT_GROUP_36_2313">Data!$S$37:$S$38</definedName>
    <definedName name="CAT_GROUP_36_2315">Data!$S$39:$S$42</definedName>
    <definedName name="CAT_GROUP_37_2290">Data!$S$43:$S$44</definedName>
    <definedName name="CAT_GROUP_37_2291">Data!$S$45:$S$46</definedName>
    <definedName name="CAT_GROUP_37_2292">Data!$S$47:$S$48</definedName>
    <definedName name="CAT_GROUP_37_2293">Data!$S$49:$S$50</definedName>
    <definedName name="CAT_GROUP_37_2296">Data!$S$51:$S$52</definedName>
    <definedName name="CAT_GROUP_37_2298">Data!$S$53:$S$58</definedName>
    <definedName name="CAT_GROUP_37_2312">Data!$S$59:$S$60</definedName>
    <definedName name="CAT_GROUP_37_2316">Data!$S$61:$S$64</definedName>
    <definedName name="CAT_GROUP_38_2300">Data!$S$65:$S$66</definedName>
    <definedName name="CAT_GROUP_38_2301">Data!$S$67:$S$68</definedName>
    <definedName name="CAT_GROUP_38_2302">Data!$S$69:$S$70</definedName>
    <definedName name="CAT_GROUP_38_2303">Data!$S$71:$S$72</definedName>
    <definedName name="CAT_GROUP_38_2304">Data!$S$73:$S$74</definedName>
    <definedName name="CAT_GROUP_38_2305">Data!$S$75:$S$80</definedName>
    <definedName name="CAT_GROUP_38_2311">Data!$S$81:$S$82</definedName>
    <definedName name="CAT_GROUP_38_2314">Data!$S$83:$S$86</definedName>
    <definedName name="CAT_STYLE_35_1000">Data!$L$1:$L$20</definedName>
    <definedName name="CAT_STYLE_36_8000">Data!$L$21:$L$26</definedName>
    <definedName name="CAT_STYLE_37_8100">Data!$L$27:$L$36</definedName>
    <definedName name="CAT_STYLE_38_8000">Data!$L$37:$L$39</definedName>
    <definedName name="CategoryList">Data!$A$1:$A$4</definedName>
    <definedName name="CategoryList_LK">Data!$A$1:$H$4</definedName>
    <definedName name="CedarImageMediumW868">Data!$HF$3:$HF$4</definedName>
    <definedName name="Cellular_Colour_2_25mm_Single_Cellular_Blind">Data!$WM$2:$WM$48</definedName>
    <definedName name="Cellular_Colour_2_38mm_Double_Cellular_Blind">Data!$WO$2:$WO$21</definedName>
    <definedName name="Cellular_Colour_2_38mm_Single_Cellular_Blind">Data!$WN$2:$WN$58</definedName>
    <definedName name="Cellular_Colour_2_NA">Data!$WW$2</definedName>
    <definedName name="CellularBlindProduct">Data!$RB$2:$RB$4</definedName>
    <definedName name="CellularControl">Data!$RV$2:$RV$8</definedName>
    <definedName name="CellularControlLength">Data!$RW$2:$RW$4</definedName>
    <definedName name="CellularMotorOptions">Data!$UB$2:$UB$11</definedName>
    <definedName name="CellularOperation">Data!$RU$2:$RU$13</definedName>
    <definedName name="Chain_Colour">'Transition Blinds'!$BO$8:$BO$9</definedName>
    <definedName name="Chain_Cord_Length">'Transition Blinds'!$BP$8:$BP$14</definedName>
    <definedName name="Classic_Deco_Frame">Data!$FY$23</definedName>
    <definedName name="Clutch_Day_Night">Data!$RK$2</definedName>
    <definedName name="Clutch_Day_Night_25mm_Single">Data!$VG$2:$VG$3</definedName>
    <definedName name="Clutch_Day_Night_38mm_Double">Data!$WC$2:$WC$3</definedName>
    <definedName name="Clutch_Day_Night_38mm_Single">Data!$VR$2:$VR$3</definedName>
    <definedName name="Clutch_Day_Night_Control">Data!$XT$2:$XT$3</definedName>
    <definedName name="Clutch_Standard">Data!$RJ$2:$RJ$9</definedName>
    <definedName name="Clutch_Standard_25mm_Single">Data!$VF$2:$VF$7</definedName>
    <definedName name="Clutch_Standard_38mm_Double">Data!$WB$2:$WB$3</definedName>
    <definedName name="Clutch_Standard_38mm_Single">Data!$VQ$2:$VQ$9</definedName>
    <definedName name="Clutch_Standard_Control">Data!$XS$2:$XS$3</definedName>
    <definedName name="Clutch_Top_Down__Bottom_Up">Data!$RL$2:$RL$9</definedName>
    <definedName name="Clutch_Top_Down_Bottom_Up_25mm_Single">Data!$VH$2:$VH$7</definedName>
    <definedName name="Clutch_Top_Down_Bottom_Up_38mm_Double">Data!$WD$2:$WD$3</definedName>
    <definedName name="Clutch_Top_Down_Bottom_Up_38mm_Single">Data!$VS$2:$VS$9</definedName>
    <definedName name="Clutch_Top_Down_Bottom_Up_Control">Data!$XU$2:$XU$3</definedName>
    <definedName name="CMBEmail">Data!$BA$25:$BA$27</definedName>
    <definedName name="CMBPhone">Data!$BB$25:$BB$27</definedName>
    <definedName name="CoffeeW890">Data!$HH$3:$HH$4</definedName>
    <definedName name="Colour2_25mm_Single_Cellular_Blind_Translucent_Paisley">Data!$TV$2:$TV$6</definedName>
    <definedName name="Colour2_25mm_Single_Cellular_Blind_Translucent_Sheer">Data!$TO$2:$TO$6</definedName>
    <definedName name="Colour2_25mm_Single_Cellular_Blind_Translucent_Standard">Data!$TM$2:$TM$28</definedName>
    <definedName name="Colour2_25mm_Single_Cellular_Blind_Translucent_Thatched">Data!$TU$2:$TU$6</definedName>
    <definedName name="Colour2_25mm_Single_Cellular_Blind_Translucent_Woven">Data!$TQ$2:$TQ$6</definedName>
    <definedName name="Colour2_38mm_Double_Cellular_Blind_Translucent_Standard">Data!$TX$2:$TX$21</definedName>
    <definedName name="Colour2_38mm_Single_Cellular_Blind_Translucent_Crush">Data!$TW$2:$TW$6</definedName>
    <definedName name="Colour2_38mm_Single_Cellular_Blind_Translucent_Linen">Data!$TR$2:$TR$6</definedName>
    <definedName name="Colour2_38mm_Single_Cellular_Blind_Translucent_Paisley">Data!$TT$2:$TT$6</definedName>
    <definedName name="Colour2_38mm_Single_Cellular_Blind_Translucent_Sheer">Data!$TN$2:$TN$6</definedName>
    <definedName name="Colour2_38mm_Single_Cellular_Blind_Translucent_Standard">Data!$TL$2:$TL$28</definedName>
    <definedName name="Colour2_38mm_Single_Cellular_Blind_Translucent_Thatched">Data!$TS$2:$TS$6</definedName>
    <definedName name="Colour2_38mm_Single_Cellular_Blind_Translucent_Woven">Data!$TP$2:$TP$6</definedName>
    <definedName name="ColourNA">'Transition Blinds'!$DH$6</definedName>
    <definedName name="Como_Blockout">Data!$PD$2:$PD$7</definedName>
    <definedName name="Como_Translucent">Data!$PC$2:$PC$7</definedName>
    <definedName name="Concealed_Bi_Fold_Hinge">Data!$ID$31</definedName>
    <definedName name="Control_Clutch_Day_Night">Data!$UK$2</definedName>
    <definedName name="Control_Clutch_Standard">Data!$UJ$2</definedName>
    <definedName name="Control_Clutch_Top_Down__Bottom_Up">Data!$UL$2</definedName>
    <definedName name="Control_Corded_Day_Night">Data!$UE$2</definedName>
    <definedName name="Control_Corded_Standard">Data!$UD$2</definedName>
    <definedName name="Control_Corded_Top_Down__Bottom_Up">Data!$UF$2</definedName>
    <definedName name="Control_Cordless_Day_Night">Data!$UH$2</definedName>
    <definedName name="Control_Cordless_Standard">Data!$UG$2</definedName>
    <definedName name="Control_Cordless_Top_Down__Bottom_Up">Data!$UI$2</definedName>
    <definedName name="Control_Motorised_Battery">Data!$UM$2:$UM$3</definedName>
    <definedName name="Control_Motorised_Hardwired">Data!$UN$2:$UN$3</definedName>
    <definedName name="ControlOption">Data!$PU$2:$PU$7</definedName>
    <definedName name="Cord_Colour">'Transition Blinds'!$BR$8:$BR$15</definedName>
    <definedName name="Corded_Day_Night">Data!$RE$2</definedName>
    <definedName name="Corded_Day_Night_25mm_Single">Data!$VA$2:$VA$3</definedName>
    <definedName name="Corded_Day_Night_38mm_Double">Data!$VW$2:$VW$3</definedName>
    <definedName name="Corded_Day_Night_38mm_Single">Data!$VL$2:$VL$3</definedName>
    <definedName name="Corded_Day_Night_Control">Data!$XN$2:$XN$5</definedName>
    <definedName name="Corded_Standard">Data!$RD$2:$RD$9</definedName>
    <definedName name="Corded_Standard_25mm_Single">Data!$UZ$2:$UZ$7</definedName>
    <definedName name="Corded_Standard_38mm_Double">Data!$VV$2:$VV$3</definedName>
    <definedName name="Corded_Standard_38mm_Single">Data!$VK$2:$VK$9</definedName>
    <definedName name="Corded_Standard_Control">Data!$XM$2:$XM$3</definedName>
    <definedName name="Corded_Top_Down__Bottom_Up">Data!$RF$2:$RF$9</definedName>
    <definedName name="Corded_Top_Down_Bottom_Up_25mm_Single">Data!$VB$2:$VB$7</definedName>
    <definedName name="Corded_Top_Down_Bottom_Up_38mm_Double">Data!$VX$2:$VX$3</definedName>
    <definedName name="Corded_Top_Down_Bottom_Up_38mm_Single">Data!$VM$2:$VM$9</definedName>
    <definedName name="Corded_Top_Down_Bottom_Up_Control">Data!$XO$2:$XO$5</definedName>
    <definedName name="Cordless_Day_Night">Data!$RH$2</definedName>
    <definedName name="Cordless_Day_Night_25mm_Single">Data!$VD$2:$VD$3</definedName>
    <definedName name="Cordless_Day_Night_38mm_Double">Data!$VZ$2:$VZ$3</definedName>
    <definedName name="Cordless_Day_Night_38mm_Single">Data!$VO$2:$VO$3</definedName>
    <definedName name="Cordless_Day_Night_Control">Data!$XQ$2</definedName>
    <definedName name="Cordless_Standard">Data!$RG$2:$RG$9</definedName>
    <definedName name="Cordless_Standard_25mm_Single">Data!$VC$2:$VC$7</definedName>
    <definedName name="Cordless_Standard_38mm_Double">Data!$VY$2:$VY$3</definedName>
    <definedName name="Cordless_Standard_38mm_Single">Data!$VN$2:$VN$9</definedName>
    <definedName name="Cordless_Standard_Control">Data!$XP$2</definedName>
    <definedName name="Cordless_Top_Down__Bottom_Up">Data!$RI$2:$RI$9</definedName>
    <definedName name="Cordless_Top_Down_Bottom_Up_25mm_Single">Data!$VE$2:$VE$7</definedName>
    <definedName name="Cordless_Top_Down_Bottom_Up_38mm_Double">Data!$WA$2:$WA$3</definedName>
    <definedName name="Cordless_Top_Down_Bottom_Up_38mm_Single">Data!$VP$2:$VP$9</definedName>
    <definedName name="Cordless_Top_Down_Bottom_Up_Control">Data!$XR$2</definedName>
    <definedName name="Cordless_Wand_Operated">Data!$UO$2</definedName>
    <definedName name="Cordless_Wand_Operated_Control">Data!$XX$2:$XX$3</definedName>
    <definedName name="Cover_Strip_To_Fit_Face_Fit_Frame_12.5mm_x_5mm">Data!$GY$2</definedName>
    <definedName name="Cover_Strip_To_Fit_Face_Fit_Frame_15.4mm_x_6mm">Data!$GI$23</definedName>
    <definedName name="Cover_Strip_To_Fit_Face_Fit_Frame_17mm_x_5mm">Data!$GZ$2</definedName>
    <definedName name="DarkCherryW894">Data!$HK$3:$HK$4</definedName>
    <definedName name="DarkChestnutPT067">Data!$HG$3:$HG$4</definedName>
    <definedName name="Delivery_Address">'Stores &amp; Delivery Addresses '!$D$3:$D$302</definedName>
    <definedName name="Divider_Rail_Mid_Rail__Centre_Rail___76.2mm_x_21mm___Standard_Profile">Data!$GL$23</definedName>
    <definedName name="Divider_Rail_Mid_Rail_Centre_Rail_79.5mm_x_21mm">Data!$GX$2</definedName>
    <definedName name="Divider_Rail_Mid_Rail_Centre_Rail_79.5mm_x_21mm___Standard_Profile">Data!$GX$2</definedName>
    <definedName name="Divider_Rail_Mid_Rail_Centre_Rail_79.5mm_x_21mm_Standard_Profile">Data!$GX$2</definedName>
    <definedName name="Divider_RailMid_Rail__Centre_Rail___76.2mm_x_21mm___Standard_Profile">Data!$GL$23</definedName>
    <definedName name="Divider_RailMid_Rail__Centre_Rail___98mm_x_19mm___Reinforced_Curved_Profile">Data!$GX$13</definedName>
    <definedName name="Divider_RailMid_Rail_Centre_Rail_76.2mm_x_21mm_Standard_Profile">Data!$GL$23</definedName>
    <definedName name="Divider_RailMid_Rail_Centre_Rail_79.5mm_x_21mm_Reinforced_Profile">Data!$GX$13</definedName>
    <definedName name="Divider_RailMid_Rail_Centre_Rail_98mm_x_19mm_Reinforced_Curved_Profile">Data!$GX$13</definedName>
    <definedName name="Double_Hinged_BFT">Data!$DS$4:$DS$7</definedName>
    <definedName name="Double_Hinged_Frame_Type">Data!$FK$2:$FK$13</definedName>
    <definedName name="Double_Hinged_TF">Data!$DZ$4:$DZ$7</definedName>
    <definedName name="Double38mmTube">Data!$KN$2:$KN$3</definedName>
    <definedName name="Double45mmTube">Data!$KO$2</definedName>
    <definedName name="DoubleHingedLayoutCodes">Data!$LY$2:$LY$29</definedName>
    <definedName name="DoubleLink38mmTube">Data!$KQ$2:$KQ$5</definedName>
    <definedName name="DoubleLink45mmTube">Data!$KR$2:$KR$3</definedName>
    <definedName name="DS1_Colour">'Transition Blinds'!$CF$8:$CF$15</definedName>
    <definedName name="DS6_Colour">'Transition Blinds'!$CG$8:$CG$13</definedName>
    <definedName name="E1_Colour">'Transition Blinds'!$CH$8:$CH$18</definedName>
    <definedName name="Eco_Air_Blade">Data!$BA$104</definedName>
    <definedName name="EcoAirExtras">Data!$FE$159:$FE$162</definedName>
    <definedName name="EggshellW405">Data!$HB$3:$HB$5</definedName>
    <definedName name="Extras">Data!$FF$76:$FF$137</definedName>
    <definedName name="ExtrasMaterial">Data!$FB$74:$FB$75</definedName>
    <definedName name="Fabric_127mm">Data!$CH$3:$CH$4</definedName>
    <definedName name="Fabric_89mm">Data!$CG$3:$CG$4</definedName>
    <definedName name="Fabric_Insert_NA">'Transition Blinds'!$CP$8</definedName>
    <definedName name="Fabric_Insert_Option">'Transition Blinds'!$CO$8:$CO$9</definedName>
    <definedName name="Fabric127mm">Data!$DK$3:$DK$22</definedName>
    <definedName name="Fabric89mm">Data!$DJ$3:$DJ$22</definedName>
    <definedName name="FabricSlatWidth">Data!$DG$3:$DG$5</definedName>
    <definedName name="FACE">Data!$CD$3</definedName>
    <definedName name="FaceRecess">Data!$MQ$3:$MQ$4</definedName>
    <definedName name="Fauxwood_Blade">Data!$EX$3:$EX$5</definedName>
    <definedName name="Fauxwood_Blockout_Blade">Data!$EY$3</definedName>
    <definedName name="Fauxwood_Eco_Air">Data!$BE$3:$BE$4</definedName>
    <definedName name="Fauxwood_Eco_Air_OLD">Data!$BF$3:$BF$6</definedName>
    <definedName name="Fauxwood_Eco_Elite">Data!$BG$3:$BG$6</definedName>
    <definedName name="Fauxwood_Night">Data!$BH$3:$BH$5</definedName>
    <definedName name="FauxwoodAI">Data!$DD$3:$DD$4</definedName>
    <definedName name="FauxwoodAINo">Data!$DE$3</definedName>
    <definedName name="FauxwoodBlockoutN">Data!$BU$3</definedName>
    <definedName name="FauxwoodBlockoutT">Data!$CO$3:$CO$5</definedName>
    <definedName name="FauxwoodEcoHingeNew">Data!$AAE$24:$AAE$25</definedName>
    <definedName name="FauxwoodExtraOptionsStd">Data!$KD$3:$KD$4</definedName>
    <definedName name="FauxwoodExtrasOptions">Data!$IY$3:$IY$5</definedName>
    <definedName name="FauxwoodHangingStripHingeNew">Data!$AAL$24:$AAL$27</definedName>
    <definedName name="FauxwoodLiteTiltrod">Data!$CZ$3</definedName>
    <definedName name="FauxwoodRPNo">Data!$CY$3:$CY$5</definedName>
    <definedName name="FauxwoodStile">Data!$NE$2</definedName>
    <definedName name="FauxwoodT">Data!$CN$3:$CN$6</definedName>
    <definedName name="FauxwoodY">Data!$BT$3:$BT$4</definedName>
    <definedName name="FBOAntiqueWhiteF140">Data!$HU$3</definedName>
    <definedName name="FBOOffWhiteF286">Data!$HT$3</definedName>
    <definedName name="FBOWhiteF186">Data!$HS$3</definedName>
    <definedName name="Fixed_BFT">Data!$DV$4</definedName>
    <definedName name="Fixed_Frame_Type">Data!$FN$2</definedName>
    <definedName name="Fixed_TF">Data!$EC$4</definedName>
    <definedName name="FixedLayoutCodes">Data!$MB$2</definedName>
    <definedName name="Flat_Hinge">Data!$ID$3:$ID$26</definedName>
    <definedName name="Floor_Guide">Data!$IE$3</definedName>
    <definedName name="Florence">Data!$PE$2:$PE$6</definedName>
    <definedName name="Fluffy_Strip_Fauxwood_Eco">Data!$ER$3:$ER$4</definedName>
    <definedName name="Fluffy_Strip_Fauxwood_Lite">Data!$ET$3</definedName>
    <definedName name="Fluffy_Strip_Fauxwood_Night">Data!$EQ$3</definedName>
    <definedName name="Fluffy_Strip_Timber_Eco">Data!$ES$3</definedName>
    <definedName name="FR_S6_Colour">'Transition Blinds'!$CI$8:$CI$13</definedName>
    <definedName name="FrameType">Data!$BK$3:$BK$18</definedName>
    <definedName name="Hanging_Strip_30mm_x_25.4mm_Material">Data!$GK$23</definedName>
    <definedName name="Hanging_Strip_35mm_x_25.5mm_Material">Data!$FA$103</definedName>
    <definedName name="Hanging_Strip_35mm_x_28.6mm_Material">Data!$GA$2</definedName>
    <definedName name="Hardware">Data!$HX$56:$HX$89</definedName>
    <definedName name="Head_Box_Colour">'Transition Blinds'!$BG$8:$BG$15</definedName>
    <definedName name="HelperSpringControlNo">Data!$PV$2</definedName>
    <definedName name="HelperSpringControlYes">Data!$PW$2:$PW$3</definedName>
    <definedName name="Herman_Joints">Data!$IF$3:$IF$4</definedName>
    <definedName name="Hidden_Tiltrod_114mm">Data!$IG$3:$IG$4</definedName>
    <definedName name="Hidden_Tiltrod_63mm">Data!$IH$3:$IH$4</definedName>
    <definedName name="Hidden_Tiltrod_89mm">Data!$II$3:$II$4</definedName>
    <definedName name="Hidden_Tiltrod_89mm_Air">Data!$HZ$45:$HZ$46</definedName>
    <definedName name="Hinge">Data!$BM$3:$BM$12</definedName>
    <definedName name="Hinge_Packer">Data!$IJ$3</definedName>
    <definedName name="Hinge_Pin">Data!$IK$3</definedName>
    <definedName name="Hinged_BFT">Data!$DR$4:$DR$7</definedName>
    <definedName name="Hinged_Frame_Type">Data!$FJ$2:$FJ$13</definedName>
    <definedName name="Hinged_TF">Data!$DY$4:$DY$7</definedName>
    <definedName name="HingedAirLayoutCodes">Data!$LX$148:$LX$184</definedName>
    <definedName name="HingedLayoutCodes">Data!$LX$2:$LX$93</definedName>
    <definedName name="HingeNA">Data!$BN$3</definedName>
    <definedName name="HingeNANew">Data!$AAD$24</definedName>
    <definedName name="HoldDown">Data!$CQ$3:$CQ$4</definedName>
    <definedName name="Illusion_Alabaster_V484">Data!$DI$4:$DI$27</definedName>
    <definedName name="Jacquard_Crush_Jacquard_Weave_Bottom_Rail_Colour">'Transition Blinds'!$DT$8:$DT$9</definedName>
    <definedName name="JasperW498">Data!$HD$3:$HD$4</definedName>
    <definedName name="L_Bracket">Data!$HZ$30:$HZ$31</definedName>
    <definedName name="L_Drop_Hinge">Data!$IL$3:$IL$26</definedName>
    <definedName name="Large_Bullnose_Z_Frame_Material">Data!$FZ$14:$FZ$15</definedName>
    <definedName name="Large_Face_Fit_L_Frame_Material">Data!$GB$2</definedName>
    <definedName name="Large_Tube">Data!$KT$2</definedName>
    <definedName name="Large_Z_Frame_Material">Data!$GC$2:$GC$3</definedName>
    <definedName name="LayoutCodes">Data!$DO$3:$DO$84</definedName>
    <definedName name="LHRHCorner">Data!$MP$3:$MP$4</definedName>
    <definedName name="Light_Stop_19mm_x_19mm_Material">Data!$GD$2</definedName>
    <definedName name="Light_Stop_19mm_x_30mm_Material">Data!$GE$2</definedName>
    <definedName name="Light_Stop_19mm_x_9.5mm_Material">Data!$FB$103</definedName>
    <definedName name="Light_Stop_20mm_x_12mm_Material">Data!$FC$103</definedName>
    <definedName name="Light_Stop_20mm_x_20mm">Data!$GA$23</definedName>
    <definedName name="Light_Stop_20mm_x_30mm">Data!$GB$23</definedName>
    <definedName name="Light_Stop_20mm_x_5mm_Material">Data!$GG$2:$GG$3</definedName>
    <definedName name="Light_Stop_31.8mm_x_12mm">Data!$GC$23</definedName>
    <definedName name="Light_Stop_31.8mm_x_9.5mm_Material">Data!$GH$2</definedName>
    <definedName name="Light_Stop_40mm_x_30mm_Material">Data!$GI$2:$GI$3</definedName>
    <definedName name="Light_Stop_50mm_x_30mm_Material">Data!$GJ$2:$GJ$3</definedName>
    <definedName name="Link">Data!$KP$2:$KP$3</definedName>
    <definedName name="LiteAntiqueWhiteF140">Data!$HQ$17</definedName>
    <definedName name="LiteOffWhiteF286">Data!$HP$17</definedName>
    <definedName name="LitePureWhiteF190">Data!$HR$17</definedName>
    <definedName name="LiteWhiteF186">Data!$HO$17</definedName>
    <definedName name="London">Data!$Y$3:$Y$9</definedName>
    <definedName name="LRF100mm">Data!$JT$3:$JT$5</definedName>
    <definedName name="LRF140mm">Data!$JU$3:$JU$5</definedName>
    <definedName name="LRF180mm">Data!$JV$3:$JV$5</definedName>
    <definedName name="LRF220mm">Data!$JW$3:$JW$5</definedName>
    <definedName name="LRFBullnoseZFrame">Data!$JR$3:$JR$6</definedName>
    <definedName name="LRFHangingStrip">Data!$JI$3:$JI$5</definedName>
    <definedName name="LRFLargeBullnoseZFrame">Data!$JY$3:$JY$6</definedName>
    <definedName name="LRFLargeFFLFrame">Data!$JO$3:$JO$5</definedName>
    <definedName name="LRFLargeLFrame">Data!$JN$3:$JN$5</definedName>
    <definedName name="LRFLargeZFrame">Data!$JQ$3:$JQ$6</definedName>
    <definedName name="LRFMediumFFLFrame">Data!$JM$3:$JM$5</definedName>
    <definedName name="LRFMediumLFrame">Data!$JL$3:$JL$5</definedName>
    <definedName name="LRFMediumLFrameFlat">Data!$JL$20:$JL$22</definedName>
    <definedName name="LRFNA">Data!$JX$3</definedName>
    <definedName name="LRFNoFrame">Data!$JH$3:$JH$5</definedName>
    <definedName name="LRFrameAir">Data!$JH$20:$JH$21</definedName>
    <definedName name="LRFSmallFFLFrame">Data!$JK$3:$JK$5</definedName>
    <definedName name="LRFSmallLFrame">Data!$JJ$3:$JJ$5</definedName>
    <definedName name="LRFStandardZFrame">Data!$JP$3:$JP$6</definedName>
    <definedName name="LRFUChannel">Data!$JS$3:$JS$4</definedName>
    <definedName name="LuminosityAndFabric">Data!$RC$2:$RC$9</definedName>
    <definedName name="LV1_Colour">'Transition Blinds'!$CJ$8:$CJ$14</definedName>
    <definedName name="LV2_Colour">'Transition Blinds'!$CK$8:$CK$13</definedName>
    <definedName name="Magnet_Catch">Data!$IM$3:$IM$4</definedName>
    <definedName name="MahoganyW306">Data!$HL$3:$HL$4</definedName>
    <definedName name="MapleW893">Data!$HJ$3:$HJ$4</definedName>
    <definedName name="Maui">Data!$Z$3:$Z$7</definedName>
    <definedName name="Medium_Face_Fit_L_Frame_Material">Data!$GK$2</definedName>
    <definedName name="Medium_L_Frame_Material">Data!$GL$2</definedName>
    <definedName name="Medium_Large_Face_Fit_L_Frame">Data!$GD$23</definedName>
    <definedName name="Medium_Large_L_Frame">Data!$GE$23</definedName>
    <definedName name="MediumLarge_Face_Fit_L_Frame">Data!$GD$23</definedName>
    <definedName name="MediumLarge_L_Frame">Data!$GE$23</definedName>
    <definedName name="MediumLarge_L_Frame_Flat">Data!$GE$31</definedName>
    <definedName name="Metal_Return_Clip_For_Fascia">Data!$IV$17</definedName>
    <definedName name="Milan">Data!$PG$2:$PG$13</definedName>
    <definedName name="MochaW811">Data!$HE$3:$HE$4</definedName>
    <definedName name="Motorised_Battery">Data!$RM$2:$RM$9</definedName>
    <definedName name="Motorised_Battery_25mm_Single">Data!$VI$2:$VI$7</definedName>
    <definedName name="Motorised_Battery_38mm_Double">Data!$WE$2:$WE$3</definedName>
    <definedName name="Motorised_Battery_38mm_Single">Data!$VT$2:$VT$9</definedName>
    <definedName name="Motorised_Battery_Control">Data!$XV$2</definedName>
    <definedName name="Motorised_Hardwired">Data!$RN$2:$RN$9</definedName>
    <definedName name="Motorised_Hardwired_25mm_Single">Data!$VJ$2:$VJ$7</definedName>
    <definedName name="Motorised_Hardwired_38mm_Double">Data!$WF$2:$WF$3</definedName>
    <definedName name="Motorised_Hardwired_38mm_Single">Data!$VU$2:$VU$9</definedName>
    <definedName name="Motorised_Hardwired_Control">Data!$XW$2</definedName>
    <definedName name="Mounting_Block_18mm_x_18mm_Material">Data!$GM$2</definedName>
    <definedName name="Mounting_Block_20mm_x_20mm_Material">Data!$GJ$23</definedName>
    <definedName name="Mounting_Block_30mm_x_30mm_Material">Data!$GN$2:$GN$3</definedName>
    <definedName name="MountingMethod">Data!$BI$3:$BI$7</definedName>
    <definedName name="MountingMethodAirIN">Data!$ME$18</definedName>
    <definedName name="MountingMethodAirOUT">Data!$MF$18</definedName>
    <definedName name="MountingMethodIN">Data!$ME$3:$ME$8</definedName>
    <definedName name="MountingMethodMS">Data!$MG$3</definedName>
    <definedName name="MountingMethodOUT">Data!$MF$3:$MF$7</definedName>
    <definedName name="MSNALayoutCodes">Data!$MC$2</definedName>
    <definedName name="Multi_Shade">'Transition Blinds'!$BI$8</definedName>
    <definedName name="Multi_Shade_Finish">'Transition Blinds'!$BU$8:$BU$14</definedName>
    <definedName name="NA_BFT">Data!$DX$4</definedName>
    <definedName name="NA_TF">Data!$EE$4</definedName>
    <definedName name="NAFrameType">Data!$FO$2</definedName>
    <definedName name="Naples">Data!$QG$2:$QG$9</definedName>
    <definedName name="No">Data!$AE$3</definedName>
    <definedName name="OPTIONGROUP35">Data!$P$1:$P$8</definedName>
    <definedName name="OPTIONGROUP35_LK">Data!$P$1:$R$7</definedName>
    <definedName name="OPTIONGROUP36">Data!$P$9:$P$16</definedName>
    <definedName name="OPTIONGROUP36_LK">Data!$P$8:$R$15</definedName>
    <definedName name="OPTIONGROUP37">Data!$P$17:$P$24</definedName>
    <definedName name="OPTIONGROUP37_LK">Data!$P$16:$R$23</definedName>
    <definedName name="OPTIONGROUP38">Data!$P$25:$P$32</definedName>
    <definedName name="OPTIONGROUP38_LK">Data!$P$24:$R$31</definedName>
    <definedName name="ORDERVAR35">Data!$N$1:$N$6</definedName>
    <definedName name="ORDERVAR36">Data!$N$7:$N$13</definedName>
    <definedName name="ORDERVAR37">Data!$N$14:$N$19</definedName>
    <definedName name="ORDERVAR38">Data!$N$21:$N$27</definedName>
    <definedName name="Other_Bottom_Rail_Colour">'Transition Blinds'!$DS$8</definedName>
    <definedName name="OtherControl">Data!$QK$2:$QK$11</definedName>
    <definedName name="Oval_Bottom_Rail">Data!$CS$3:$CS$7</definedName>
    <definedName name="Oval_Bottom_Rail_2">Data!$CS$18:$CS$23</definedName>
    <definedName name="Over_Roll_Or_Standard_Multi_Shade">'Transition Blinds'!$DV$8:$DV$9</definedName>
    <definedName name="Over_Roll_Or_Standard_Roman_Shade">'Transition Blinds'!$DW$8</definedName>
    <definedName name="Over_Roll_Or_Standard_Triple_Shade">'Transition Blinds'!$DX$8</definedName>
    <definedName name="Pacific_Sales_Coordinator">Data!$BA$3:$BA$6</definedName>
    <definedName name="Panel_Glide_Blind_Product">Data!$ZB$2:$ZB$12</definedName>
    <definedName name="Panel_Glide_Bottom_Rail_Colour">Data!$ZD$2:$ZD$7</definedName>
    <definedName name="Panel_Glide_Sewn_In_Pocket">Data!$ZE$2</definedName>
    <definedName name="Panel_Quantity">Data!$ZC$2:$ZC$8</definedName>
    <definedName name="Panel_Quantity_2">Data!$ZN$2:$ZN$3</definedName>
    <definedName name="Panel_Quantity_3">Data!$ZO$2:$ZO$4</definedName>
    <definedName name="Panel_Quantity_4">Data!$ZP$2:$ZP$3</definedName>
    <definedName name="Panel_Quantity_5">Data!$ZQ$2:$ZQ$4</definedName>
    <definedName name="Panel_Quantity_6">Data!$ZR$2:$ZR$3</definedName>
    <definedName name="Panel_Quantity_7">Data!$ZS$2</definedName>
    <definedName name="Panel_Quantity_9">Data!$ZU$2</definedName>
    <definedName name="Paris">Data!$AA$3:$AA$22</definedName>
    <definedName name="Paris_Coconut">Data!$DJ$3:$DJ$19</definedName>
    <definedName name="Pivot_Hinged_BFT">Data!$DW$4</definedName>
    <definedName name="Pivot_Hinged_Frame_Type">Data!$FI$2</definedName>
    <definedName name="Pivot_Hinged_TF">Data!$ED$4</definedName>
    <definedName name="Pivot_Hinges_Left_Right_Sides">Data!$IN$3:$IN$5</definedName>
    <definedName name="PivotHingeColour">Data!$MU$3:$MU$4</definedName>
    <definedName name="PivotHingedFauxwoodNew">Data!$AAK$40:$AAK$41</definedName>
    <definedName name="PivotHingedLayoutCodes">Data!$MX$2:$MX$6</definedName>
    <definedName name="PivotHingedNew">Data!$AAK$24:$AAK$25</definedName>
    <definedName name="PivotHingedTopBottomFrame">Data!$OF$3:$OF$5</definedName>
    <definedName name="Pompeii">Data!$PH$2:$PH$9</definedName>
    <definedName name="_xlnm.Print_Area" localSheetId="2">'25mm Aluminium Blinds'!$A$1:$U$37</definedName>
    <definedName name="_xlnm.Print_Area" localSheetId="3">'50mm &amp; 63mm Venetian Blinds'!$A$1:$V$37</definedName>
    <definedName name="_xlnm.Print_Area" localSheetId="6">'Cellular Blinds'!$A$1:$S$37</definedName>
    <definedName name="_xlnm.Print_Area" localSheetId="13">'CMB Bay WS'!$A$1:$L$57</definedName>
    <definedName name="_xlnm.Print_Area" localSheetId="12">'CMB Corner WS'!$A$1:$J$57</definedName>
    <definedName name="_xlnm.Print_Area" localSheetId="11">Data!$AAD$22:$AAN$38</definedName>
    <definedName name="_xlnm.Print_Area" localSheetId="7">'Panel Glide Blinds'!$A$1:$U$37</definedName>
    <definedName name="_xlnm.Print_Area" localSheetId="4">'Roller Blinds'!$A$1:$Z$37</definedName>
    <definedName name="_xlnm.Print_Area" localSheetId="9">'Shutters Page 1'!$A$1:$AE$52</definedName>
    <definedName name="_xlnm.Print_Area" localSheetId="10">'Shutters Page 2'!$A$1:$AE$52</definedName>
    <definedName name="_xlnm.Print_Area" localSheetId="8">'Transition Blinds'!$A$1:$T$57</definedName>
    <definedName name="_xlnm.Print_Area" localSheetId="5">'Vertical Blinds'!$A$1:$V$27</definedName>
    <definedName name="PS50mm">Data!$BY$3:$BY$4</definedName>
    <definedName name="PS63mm">Data!$CA$3:$CA$4</definedName>
    <definedName name="PSColours50mm">Data!$AP$2:$AP$10</definedName>
    <definedName name="PSColours63mm">Data!$AQ$2:$AQ$7</definedName>
    <definedName name="PureWhiteW190">Data!$HN$3:$HN$4</definedName>
    <definedName name="PVC_89mm">Data!$CF$3</definedName>
    <definedName name="PVC89mm">Data!$DI$3:$DI$8</definedName>
    <definedName name="RECESS">Data!$CE$3:$CE$4</definedName>
    <definedName name="Roller_Blind_Product">Data!$W$3:$W$6</definedName>
    <definedName name="Roller_Pelmet_Colour">Data!$AD$3:$AD$5</definedName>
    <definedName name="RollerBlindsFabricAndColour">Data!$Y$14</definedName>
    <definedName name="RollerBracketType2">Data!$QF$2:$QF$5</definedName>
    <definedName name="RollerBracketTypeParis">Data!$QE$2:$QE$3</definedName>
    <definedName name="RollerChain_Left">Data!$QL$2:$QL$8</definedName>
    <definedName name="RollerChain_Motor_Left_Hand_5_Channel_Hand_Held">Data!$QO$2</definedName>
    <definedName name="RollerChain_Motor_Left_Hand_5_Channel_Wall_Mounted">Data!$QQ$2</definedName>
    <definedName name="RollerChain_Motor_Left_Hand_Single_Channel_Hand_Held">Data!$QN$2</definedName>
    <definedName name="RollerChain_Motor_Left_Hand_Single_Channel_Wall_Mounted">Data!$QP$2</definedName>
    <definedName name="RollerChain_Motor_Left_Home_Automation">Data!$QV$2</definedName>
    <definedName name="RollerChain_Motor_Right_Hand_5_Channel_Hand_Held">Data!$QS$2</definedName>
    <definedName name="RollerChain_Motor_Right_Hand_5_Channel_Wall_Mounted">Data!$QU$2</definedName>
    <definedName name="RollerChain_Motor_Right_Hand_Single_Channel_Hand_Held">Data!$QR$2</definedName>
    <definedName name="RollerChain_Motor_Right_Hand_Single_Channel_Wall_Mounted">Data!$QT$2</definedName>
    <definedName name="RollerChain_Motor_Right_Home_Automation">Data!$QW$2</definedName>
    <definedName name="RollerChain_Right">Data!$QM$2:$QM$8</definedName>
    <definedName name="RollerChainColour_Left">Data!$QL$18:$QL$22</definedName>
    <definedName name="RollerChainColour_Left_Home_Automation">Data!$QV$18</definedName>
    <definedName name="RollerChainColour_Motor_Left_Hand_5_Channel_Hand_Held">Data!$QO$18</definedName>
    <definedName name="RollerChainColour_Motor_Left_Hand_5_Channel_Wall_Mounted">Data!$QQ$18</definedName>
    <definedName name="RollerChainColour_Motor_Left_Hand_Single_Channel_Hand_Held">Data!$QN$18</definedName>
    <definedName name="RollerChainColour_Motor_Left_Hand_Single_Channel_Wall_Mounted">Data!$QP$18</definedName>
    <definedName name="RollerChainColour_Motor_Right_Hand_5_Channel_Hand_Held">Data!$QS$18</definedName>
    <definedName name="RollerChainColour_Motor_Right_Hand_5_Channel_Wall_Mounted">Data!$QU$18</definedName>
    <definedName name="RollerChainColour_Motor_Right_Hand_Single_Channel_Hand_Held">Data!$QR$18</definedName>
    <definedName name="RollerChainColour_Motor_Right_Hand_Single_Channel_Wall_Mounted">Data!$QT$18</definedName>
    <definedName name="RollerChainColour_Right">Data!$QM$18:$QM$22</definedName>
    <definedName name="RollerChainColour_Right_Home_Automation">Data!$QW$18</definedName>
    <definedName name="RollerControl">Data!$QJ$2:$QJ$3</definedName>
    <definedName name="RollerPelmetColourCommon">Data!$PY$2:$PY$4</definedName>
    <definedName name="RollerPelmetColourNo">Data!$QA$2</definedName>
    <definedName name="RollerPelmetColourStandard">Data!$PZ$2:$PZ$4</definedName>
    <definedName name="RollerPelmetInsertCommon">Data!$QB$2:$QB$3</definedName>
    <definedName name="RollerPelmetInsertNo">Data!$QD$2</definedName>
    <definedName name="RollerPelmetInsertStandard">Data!$QC$2:$QC$3</definedName>
    <definedName name="RollerUniversalPelmet">Data!$PX$2:$PX$4</definedName>
    <definedName name="Roman_Shade">'Transition Blinds'!$BJ$8</definedName>
    <definedName name="Roman_Shade_Finish">'Transition Blinds'!$BV$8</definedName>
    <definedName name="Rome_Blockout">Data!$PJ$2:$PJ$6</definedName>
    <definedName name="Rome_Translucent">Data!$PI$2:$PI$6</definedName>
    <definedName name="S6_Colour">'Transition Blinds'!$CL$8:$CL$20</definedName>
    <definedName name="S9_Colour">'Transition Blinds'!$CM$8:$CM$15</definedName>
    <definedName name="Screw">Data!$IO$3:$IO$4</definedName>
    <definedName name="Sewn_In_Pocket">Data!$CT$3</definedName>
    <definedName name="ShippingPort">Data!$BB$3:$BB$7</definedName>
    <definedName name="ShutterAluminiumInsert">Data!$BS$2:$BU$2</definedName>
    <definedName name="ShutterEmail">Data!$BA$35:$BA$37</definedName>
    <definedName name="ShutterMaterial">Data!$BC$3:$BC$4</definedName>
    <definedName name="ShutterMaterialMS">Data!$BC$11</definedName>
    <definedName name="ShutterPhone">Data!$BB$35:$BB$37</definedName>
    <definedName name="Side_Winder_Bracket_Colour">'Transition Blinds'!$BN$8:$BN$15</definedName>
    <definedName name="Slider_L_Bracket">Data!$IP$3</definedName>
    <definedName name="Sliding_BFT">Data!$DU$4:$DU$7</definedName>
    <definedName name="Sliding_Frame_108mm_x_35mm_Bi_Pass_Frame_Material">Data!$GO$2:$GO$3</definedName>
    <definedName name="Sliding_Frame_Type">Data!$FM$2:$FM$5</definedName>
    <definedName name="Sliding_System" localSheetId="10">'Shutters Page 2'!$AP$4:$AP$5</definedName>
    <definedName name="Sliding_System">'Shutters Page 1'!$AP$4:$AP$5</definedName>
    <definedName name="Sliding_TF">Data!$EB$4</definedName>
    <definedName name="SlidingBoth">Data!$ABB$2:$ABB$3</definedName>
    <definedName name="SlidingClosed">Data!$ABC$2</definedName>
    <definedName name="SlidingLayoutCodes">Data!$LZ$2:$LZ$24</definedName>
    <definedName name="SlidingSystemNA" localSheetId="10">'Shutters Page 2'!$AQ$4</definedName>
    <definedName name="SlidingSystemNA">'Shutters Page 1'!$AQ$4</definedName>
    <definedName name="Small_Face_Fit_L_Frame_Material">Data!$GP$2:$GP$3</definedName>
    <definedName name="Small_L_Frame_Beaded_Option">Data!$FZ$23</definedName>
    <definedName name="Small_L_Frame_Material">Data!$GQ$2:$GQ$3</definedName>
    <definedName name="Small_Tube">Data!$KS$2:$KS$3</definedName>
    <definedName name="Snow_White">Data!$HQ$3</definedName>
    <definedName name="SOCDoubleHinged">Data!$JC$3</definedName>
    <definedName name="SOCFixed">Data!$JF$3</definedName>
    <definedName name="SOCHinged">Data!$JB$3</definedName>
    <definedName name="SOCNA">Data!$JA$3</definedName>
    <definedName name="SOCPivotHinged">Data!$JG$3</definedName>
    <definedName name="SOCSliding">Data!$JE$3:$JE$4</definedName>
    <definedName name="SOCTrackBiFold">Data!$JD$3</definedName>
    <definedName name="Special_Comments_1">Data!$EM$3:$EM$28</definedName>
    <definedName name="Special_Comments_2">Data!$EN$3:$EN$28</definedName>
    <definedName name="Special_Comments_3">Data!$EO$3:$EO$28</definedName>
    <definedName name="Special_Window_FauxwoodEco">Data!$EJ$21:$EJ$30</definedName>
    <definedName name="Special_Window_FauxwoodEcoAir">Data!$EJ$41</definedName>
    <definedName name="Special_Window_Timber">Data!$EJ$3:$EJ$15</definedName>
    <definedName name="Special_Window_Timber_Laminated">Data!$EJ$58:$EJ$67</definedName>
    <definedName name="Spring_Catch">Data!$HZ$24</definedName>
    <definedName name="Spring_Pin">Data!$IQ$3</definedName>
    <definedName name="Stack">'Transition Blinds'!$BF$8:$BF$11</definedName>
    <definedName name="Standard">Data!$KM$2</definedName>
    <definedName name="Standard_Hinge">Data!$IR$3:$IR$26</definedName>
    <definedName name="Standard_Hinge_Large_90mm">Data!$IW$3:$IW$6</definedName>
    <definedName name="Stepped_Rabbet_Hinge">Data!$IS$3:$IS$26</definedName>
    <definedName name="Store_Name">'Stores &amp; Delivery Addresses '!$B$3:$B$302</definedName>
    <definedName name="STYLE35">Data!$I$1</definedName>
    <definedName name="STYLE35_LK">Data!$I$1:$K$1</definedName>
    <definedName name="STYLE36">Data!$I$2</definedName>
    <definedName name="STYLE36_LK">Data!$I$2:$K$2</definedName>
    <definedName name="STYLE37">Data!$I$3</definedName>
    <definedName name="STYLE37_LK">Data!$I$3:$K$3</definedName>
    <definedName name="STYLE38">Data!$I$4</definedName>
    <definedName name="STYLE38_LK">Data!$I$4:$K$4</definedName>
    <definedName name="Sunscreen">Data!$AB$3:$AB$11</definedName>
    <definedName name="Super_White">Data!$HP$3</definedName>
    <definedName name="Super_WhiteNA">Data!$HR$3</definedName>
    <definedName name="T_Post_Material">Data!$GR$2:$GR$3</definedName>
    <definedName name="Tiltrod">Data!$BW$3:$BW$6</definedName>
    <definedName name="Timber_Blade">Data!$EW$3:$EW$5</definedName>
    <definedName name="Timber_Double_Hinged_Frame_Type">Data!$FH$2:$FH$13</definedName>
    <definedName name="Timber_Double_Hinged_Frame_TypeOUT">Data!$FH$288:$FH$295</definedName>
    <definedName name="Timber_Eco">Data!$BD$3:$BD$33</definedName>
    <definedName name="Timber_Hinged_Frame_Type">Data!$FG$2:$FG$13</definedName>
    <definedName name="Timber_Hinged_Frame_TypeOUT">Data!$FG$288:$FG$295</definedName>
    <definedName name="Timber_Laminated_Blade">Data!$BB$81</definedName>
    <definedName name="TimberBlade">Data!$HA$14:$HA$16</definedName>
    <definedName name="TimberColours50mm">Data!$AR$2:$AR$11</definedName>
    <definedName name="TimberEcoExtras">Data!$FF$159:$FF$199</definedName>
    <definedName name="TimberEcoPaintedHingeNew">Data!$AAF$24:$AAF$27</definedName>
    <definedName name="TimberEcoStainedHingeNew">Data!$AAG$24:$AAG$26</definedName>
    <definedName name="TimberExtraOptionsStd">Data!$KC$3:$KC$33</definedName>
    <definedName name="TimberExtrasOptions">Data!$IX$3:$IX$10</definedName>
    <definedName name="TimberExtrasOptionsPainted">Data!$KB$3:$KB$24</definedName>
    <definedName name="TimberHardware">Data!$HY$96:$HY$125</definedName>
    <definedName name="TimberLaminateTiltrod">Data!$CW$21</definedName>
    <definedName name="TimberN">Data!$BS$3</definedName>
    <definedName name="TimberPaintedHangingStripHingeNew">Data!$AAM$24:$AAM$27</definedName>
    <definedName name="TimberRP">Data!$CX$3:$CX$6</definedName>
    <definedName name="TimberRPNo">Data!$CW$3:$CW$5</definedName>
    <definedName name="TimberSpecialComments">Data!$EM$48:$EM$71</definedName>
    <definedName name="TimberStainedHangingStripHingeNew">Data!$AAN$24:$AAN$26</definedName>
    <definedName name="TimberStile">Data!$ND$2:$ND$5</definedName>
    <definedName name="TimberT">Data!$CM$3</definedName>
    <definedName name="Top___Bottom_Rail__200mm_x_21mm___Standard_Profile">Data!$GM$23</definedName>
    <definedName name="Top_Bottom_Rail_137.5mm_x_21mm_Material">Data!$GS$2</definedName>
    <definedName name="Top_Bottom_Rail_200mm_x_21mm_Standard_Profile">Data!$GM$23</definedName>
    <definedName name="Top_Fixed_Pivot_Bracket">Data!$IT$3</definedName>
    <definedName name="Top_Track_Stopper_Block">Data!$IU$3</definedName>
    <definedName name="Top_Wheel">Data!$IV$3</definedName>
    <definedName name="TopBottom_Rail_137.5mm_x_21mmReinforced_Profile">Data!$GS$13</definedName>
    <definedName name="TopBottom_Rail_152mm_x_19mmReinforced_Profile">Data!$GS$13</definedName>
    <definedName name="TopBottomFrameAir">Data!$JI$20</definedName>
    <definedName name="TopFrame100mm">Data!$OA$3</definedName>
    <definedName name="TopFrame140mm">Data!$OB$3</definedName>
    <definedName name="TopFrame180mm">Data!$OC$3</definedName>
    <definedName name="TopFrame220mm">Data!$OD$3</definedName>
    <definedName name="TopFrameBullnoseZFrame">Data!$NY$3:$NY$6</definedName>
    <definedName name="TopFrameHangingStrip">Data!$NP$3:$NP$5</definedName>
    <definedName name="TopFrameLargeBullnoseZFrame">Data!$OG$3:$OG$6</definedName>
    <definedName name="TopFrameLargeFFLFrame">Data!$NV$3:$NV$5</definedName>
    <definedName name="TopFrameLargeLFrame">Data!$NU$3:$NU$5</definedName>
    <definedName name="TopFrameLargeZFrame">Data!$NX$3:$NX$6</definedName>
    <definedName name="TopFrameMediumFFLFrame">Data!$NT$3:$NT$5</definedName>
    <definedName name="TopFrameMediumFFLFrameFlat">Data!$OH$3:$OH$5</definedName>
    <definedName name="TopFrameMediumLFrame">Data!$NS$3:$NS$5</definedName>
    <definedName name="TopFrameNA">Data!$OE$3</definedName>
    <definedName name="TopFrameNoFrame">Data!$NO$3:$NO$5</definedName>
    <definedName name="TopFrameSmallFFLFrame">Data!$NR$3:$NR$5</definedName>
    <definedName name="TopFrameSmallLFrame">Data!$NQ$3:$NQ$5</definedName>
    <definedName name="TopFrameStandardZFrame">Data!$NW$3:$NW$6</definedName>
    <definedName name="TopFrameUChannel">Data!$NZ$3</definedName>
    <definedName name="Track_Bi_Fold_BFT">Data!$DT$4:$DT$6</definedName>
    <definedName name="Track_Bi_Fold_Frame_Type">Data!$FL$2</definedName>
    <definedName name="Track_Bi_Fold_TF">Data!$EA$4</definedName>
    <definedName name="TrackBiFoldLayoutCodes">Data!$MA$2:$MA$14</definedName>
    <definedName name="Tracking_For_Bi_Fold_Sliding_Shutters_Material">Data!$GT$2:$GT$3</definedName>
    <definedName name="Transition_Range_Blinds_Product_Type">'Transition Blinds'!$BE$8:$BE$10</definedName>
    <definedName name="Triple_Shade">'Transition Blinds'!$BK$8</definedName>
    <definedName name="Triple_Shade_Finish">'Transition Blinds'!$BW$8:$BW$11</definedName>
    <definedName name="Tube38mm">Data!$AF$3:$AF$16</definedName>
    <definedName name="Tube45mm">Data!$AH$3:$AH$8</definedName>
    <definedName name="U_Channel_40mm_x_15mm_Material">Data!$GU$2</definedName>
    <definedName name="U_Channel_40mm_x_25mm_Material">Data!$GV$2</definedName>
    <definedName name="U_Channel_40mm_x_53mm">Data!$GF$23</definedName>
    <definedName name="U_Channel_60mm_x_53mm">Data!$GG$23</definedName>
    <definedName name="VenetianProduct">Data!$OL$3:$OL$7</definedName>
    <definedName name="Venice">Data!$PL$2:$PL$7</definedName>
    <definedName name="Vertical_Extension_Bracket_Option">'Transition Blinds'!$DP$8:$DP$9</definedName>
    <definedName name="Vertical_Extension_Bracket_Option_NA">'Transition Blinds'!$DQ$8</definedName>
    <definedName name="Vertical_Shade">'Transition Blinds'!$BL$8:$BL$11</definedName>
    <definedName name="Vertical_Shade_Finish">'Transition Blinds'!$BX$8:$BX$9</definedName>
    <definedName name="VerticalColours">Data!$AL$2:$AL$7</definedName>
    <definedName name="VerticalPelmentNo">Data!$CV$3</definedName>
    <definedName name="VerticalPelmentYes">Data!$CU$3:$CU$5</definedName>
    <definedName name="VerticalTrack">Data!$DL$3:$DL$6</definedName>
    <definedName name="WalnutW891">Data!$HI$3:$HI$4</definedName>
    <definedName name="White">Data!$CU$4:$CU$5</definedName>
    <definedName name="WhiteF186">Data!$HO$3:$HO$4</definedName>
    <definedName name="WhiteW105">Data!$HA$3:$HA$5</definedName>
    <definedName name="WindowType">Data!$AJ$2:$AJ$10</definedName>
    <definedName name="WindowTypeNA">Data!$AK$2</definedName>
    <definedName name="Yes">Data!$CU$3:$CU$5</definedName>
    <definedName name="Z_Sill_Frame_Material">Data!$GW$2:$GW$3</definedName>
  </definedNames>
  <calcPr calcId="191029"/>
</workbook>
</file>

<file path=xl/calcChain.xml><?xml version="1.0" encoding="utf-8"?>
<calcChain xmlns="http://schemas.openxmlformats.org/spreadsheetml/2006/main">
  <c r="AD6" i="25" l="1"/>
  <c r="K6" i="25"/>
  <c r="F3" i="25"/>
  <c r="F4" i="25"/>
  <c r="FL10" i="25"/>
  <c r="FM10" i="25"/>
  <c r="FN10" i="25" s="1"/>
  <c r="FL11" i="25"/>
  <c r="FM11" i="25"/>
  <c r="FN11" i="25" s="1"/>
  <c r="FL12" i="25"/>
  <c r="FN12" i="25" s="1"/>
  <c r="FM12" i="25"/>
  <c r="FL13" i="25"/>
  <c r="FM13" i="25"/>
  <c r="FN13" i="25"/>
  <c r="FL14" i="25"/>
  <c r="FM14" i="25"/>
  <c r="FN14" i="25" s="1"/>
  <c r="FL15" i="25"/>
  <c r="FM15" i="25"/>
  <c r="FL16" i="25"/>
  <c r="FM16" i="25"/>
  <c r="FL17" i="25"/>
  <c r="FM17" i="25"/>
  <c r="FN17" i="25" s="1"/>
  <c r="FL18" i="25"/>
  <c r="FM18" i="25"/>
  <c r="FN18" i="25" s="1"/>
  <c r="FL19" i="25"/>
  <c r="FM19" i="25"/>
  <c r="FL20" i="25"/>
  <c r="FM20" i="25"/>
  <c r="FN20" i="25" s="1"/>
  <c r="FL21" i="25"/>
  <c r="FM21" i="25"/>
  <c r="FN21" i="25" s="1"/>
  <c r="FL22" i="25"/>
  <c r="FM22" i="25"/>
  <c r="FN22" i="25" s="1"/>
  <c r="FL23" i="25"/>
  <c r="FM23" i="25"/>
  <c r="FN23" i="25" s="1"/>
  <c r="FM9" i="25"/>
  <c r="FN9" i="25" s="1"/>
  <c r="FL9" i="25"/>
  <c r="FL10" i="5"/>
  <c r="FM10" i="5"/>
  <c r="FL11" i="5"/>
  <c r="FM11" i="5"/>
  <c r="FL12" i="5"/>
  <c r="FM12" i="5"/>
  <c r="FL13" i="5"/>
  <c r="FM13" i="5"/>
  <c r="FL14" i="5"/>
  <c r="FM14" i="5"/>
  <c r="FL15" i="5"/>
  <c r="FM15" i="5"/>
  <c r="FL16" i="5"/>
  <c r="FM16" i="5"/>
  <c r="FN16" i="5" s="1"/>
  <c r="FL17" i="5"/>
  <c r="FM17" i="5"/>
  <c r="FL18" i="5"/>
  <c r="FM18" i="5"/>
  <c r="FN18" i="5" s="1"/>
  <c r="FL19" i="5"/>
  <c r="FM19" i="5"/>
  <c r="FN19" i="5" s="1"/>
  <c r="FL20" i="5"/>
  <c r="FM20" i="5"/>
  <c r="FL21" i="5"/>
  <c r="FM21" i="5"/>
  <c r="FN21" i="5" s="1"/>
  <c r="FL22" i="5"/>
  <c r="FM22" i="5"/>
  <c r="FL23" i="5"/>
  <c r="FM23" i="5"/>
  <c r="FM9" i="5"/>
  <c r="FL9" i="5"/>
  <c r="FH55" i="2"/>
  <c r="FH54" i="2"/>
  <c r="FI54" i="2"/>
  <c r="FI55" i="2"/>
  <c r="FI60" i="2"/>
  <c r="FI59" i="2"/>
  <c r="FI58" i="2"/>
  <c r="FI57" i="2"/>
  <c r="FI56" i="2"/>
  <c r="FL20" i="2"/>
  <c r="FL19" i="2"/>
  <c r="FH60" i="2"/>
  <c r="FH59" i="2"/>
  <c r="FH58" i="2"/>
  <c r="FH57" i="2"/>
  <c r="FH56" i="2"/>
  <c r="FH20" i="2"/>
  <c r="FH19" i="2"/>
  <c r="FN13" i="5" l="1"/>
  <c r="FN16" i="25"/>
  <c r="FN15" i="25"/>
  <c r="FN14" i="5"/>
  <c r="FN23" i="5"/>
  <c r="FN17" i="5"/>
  <c r="FN10" i="5"/>
  <c r="FN19" i="25"/>
  <c r="FN22" i="5"/>
  <c r="FN12" i="5"/>
  <c r="FN11" i="5"/>
  <c r="FO11" i="5" s="1"/>
  <c r="FN20" i="5"/>
  <c r="FN15" i="5"/>
  <c r="FN9" i="5"/>
  <c r="N5" i="25"/>
  <c r="N4" i="25"/>
  <c r="N3" i="25"/>
  <c r="N2" i="25"/>
  <c r="N1" i="25"/>
  <c r="AD4" i="25"/>
  <c r="AD4" i="5"/>
  <c r="GJ10" i="5"/>
  <c r="BF52" i="25" l="1"/>
  <c r="BC52" i="25"/>
  <c r="BB52" i="25"/>
  <c r="BA52" i="25"/>
  <c r="AO52" i="25"/>
  <c r="AM52" i="25"/>
  <c r="BF51" i="25"/>
  <c r="BC51" i="25"/>
  <c r="BB51" i="25"/>
  <c r="BA51" i="25"/>
  <c r="AO51" i="25"/>
  <c r="AM51" i="25"/>
  <c r="BF50" i="25"/>
  <c r="BC50" i="25"/>
  <c r="BB50" i="25"/>
  <c r="BA50" i="25"/>
  <c r="AO50" i="25"/>
  <c r="AM50" i="25"/>
  <c r="BF49" i="25"/>
  <c r="BC49" i="25"/>
  <c r="BB49" i="25"/>
  <c r="BA49" i="25"/>
  <c r="AO49" i="25"/>
  <c r="AM49" i="25"/>
  <c r="BF48" i="25"/>
  <c r="BC48" i="25"/>
  <c r="BB48" i="25"/>
  <c r="BA48" i="25"/>
  <c r="AO48" i="25"/>
  <c r="AM48" i="25"/>
  <c r="BF47" i="25"/>
  <c r="BC47" i="25"/>
  <c r="BB47" i="25"/>
  <c r="BA47" i="25"/>
  <c r="AO47" i="25"/>
  <c r="AM47" i="25"/>
  <c r="BF46" i="25"/>
  <c r="BC46" i="25"/>
  <c r="BB46" i="25"/>
  <c r="BA46" i="25"/>
  <c r="AO46" i="25"/>
  <c r="AM46" i="25"/>
  <c r="BF45" i="25"/>
  <c r="BC45" i="25"/>
  <c r="BB45" i="25"/>
  <c r="BA45" i="25"/>
  <c r="AO45" i="25"/>
  <c r="AM45" i="25"/>
  <c r="BF44" i="25"/>
  <c r="BC44" i="25"/>
  <c r="BB44" i="25"/>
  <c r="BA44" i="25"/>
  <c r="AO44" i="25"/>
  <c r="AM44" i="25"/>
  <c r="BF43" i="25"/>
  <c r="BC43" i="25"/>
  <c r="BB43" i="25"/>
  <c r="BA43" i="25"/>
  <c r="AO43" i="25"/>
  <c r="AM43" i="25"/>
  <c r="BA35" i="25"/>
  <c r="BA34" i="25"/>
  <c r="BA33" i="25"/>
  <c r="BA32" i="25"/>
  <c r="BA31" i="25"/>
  <c r="BA30" i="25"/>
  <c r="BA29" i="25"/>
  <c r="BA28" i="25"/>
  <c r="BA27" i="25"/>
  <c r="BA26" i="25"/>
  <c r="AP24" i="25"/>
  <c r="AL24" i="25"/>
  <c r="GQ23" i="25"/>
  <c r="GL23" i="25"/>
  <c r="GM23" i="25" s="1"/>
  <c r="GN23" i="25" s="1"/>
  <c r="GI23" i="25"/>
  <c r="GE23" i="25"/>
  <c r="GF23" i="25" s="1"/>
  <c r="GC23" i="25"/>
  <c r="GB23" i="25"/>
  <c r="FZ23" i="25"/>
  <c r="FY23" i="25"/>
  <c r="FW23" i="25"/>
  <c r="FV23" i="25"/>
  <c r="FT23" i="25"/>
  <c r="FS23" i="25"/>
  <c r="FQ23" i="25"/>
  <c r="FP23" i="25"/>
  <c r="FJ23" i="25"/>
  <c r="FI23" i="25"/>
  <c r="FG23" i="25"/>
  <c r="FF23" i="25"/>
  <c r="FE23" i="25"/>
  <c r="FD23" i="25"/>
  <c r="FC23" i="25"/>
  <c r="FB23" i="25"/>
  <c r="EX23" i="25"/>
  <c r="EW23" i="25"/>
  <c r="EY23" i="25" s="1"/>
  <c r="EU23" i="25"/>
  <c r="EV23" i="25" s="1"/>
  <c r="ES23" i="25"/>
  <c r="ER23" i="25"/>
  <c r="EP23" i="25"/>
  <c r="EO23" i="25"/>
  <c r="EN23" i="25" s="1"/>
  <c r="EQ23" i="25" s="1"/>
  <c r="EM23" i="25"/>
  <c r="EL23" i="25" s="1"/>
  <c r="EK23" i="25"/>
  <c r="EJ23" i="25"/>
  <c r="EI23" i="25"/>
  <c r="EG23" i="25"/>
  <c r="EH23" i="25" s="1"/>
  <c r="EF23" i="25"/>
  <c r="AW23" i="25" s="1"/>
  <c r="EE23" i="25"/>
  <c r="ED23" i="25"/>
  <c r="EC23" i="25"/>
  <c r="EB23" i="25"/>
  <c r="EA23" i="25"/>
  <c r="DZ23" i="25"/>
  <c r="DY23" i="25"/>
  <c r="DX23" i="25"/>
  <c r="DW23" i="25"/>
  <c r="DV23" i="25"/>
  <c r="DU23" i="25"/>
  <c r="DT23" i="25"/>
  <c r="DO23" i="25"/>
  <c r="DN23" i="25"/>
  <c r="DP23" i="25" s="1"/>
  <c r="DK23" i="25"/>
  <c r="DL23" i="25" s="1"/>
  <c r="DM23" i="25" s="1"/>
  <c r="DI23" i="25"/>
  <c r="DH23" i="25"/>
  <c r="DG23" i="25"/>
  <c r="DC23" i="25"/>
  <c r="DB23" i="25"/>
  <c r="DA23" i="25"/>
  <c r="CZ23" i="25"/>
  <c r="CY23" i="25"/>
  <c r="CX23" i="25"/>
  <c r="CW23" i="25"/>
  <c r="CV23" i="25"/>
  <c r="CS23" i="25"/>
  <c r="CR23" i="25"/>
  <c r="CQ23" i="25"/>
  <c r="CP23" i="25"/>
  <c r="CK23" i="25"/>
  <c r="CL23" i="25" s="1"/>
  <c r="CJ23" i="25"/>
  <c r="CH23" i="25"/>
  <c r="CI23" i="25" s="1"/>
  <c r="CG23" i="25"/>
  <c r="CF23" i="25"/>
  <c r="CD23" i="25"/>
  <c r="CC23" i="25"/>
  <c r="CB23" i="25"/>
  <c r="CA23" i="25"/>
  <c r="BZ23" i="25"/>
  <c r="BY23" i="25"/>
  <c r="BX23" i="25"/>
  <c r="BW23" i="25"/>
  <c r="BV23" i="25"/>
  <c r="BU23" i="25"/>
  <c r="BT23" i="25"/>
  <c r="BR23" i="25"/>
  <c r="BQ23" i="25"/>
  <c r="BP23" i="25"/>
  <c r="BO23" i="25"/>
  <c r="BN23" i="25"/>
  <c r="BM23" i="25"/>
  <c r="BL23" i="25"/>
  <c r="BK23" i="25"/>
  <c r="BJ23" i="25"/>
  <c r="BH23" i="25"/>
  <c r="BG23" i="25"/>
  <c r="BF23" i="25"/>
  <c r="BC23" i="25"/>
  <c r="CE23" i="25" s="1"/>
  <c r="BB23" i="25"/>
  <c r="BA23" i="25"/>
  <c r="AZ23" i="25"/>
  <c r="AX23" i="25"/>
  <c r="AY23" i="25" s="1"/>
  <c r="AV23" i="25"/>
  <c r="AP23" i="25"/>
  <c r="AL23" i="25"/>
  <c r="AK23" i="25"/>
  <c r="AJ23" i="25"/>
  <c r="AI23" i="25"/>
  <c r="AE23" i="25"/>
  <c r="K23" i="25"/>
  <c r="DD23" i="25" s="1"/>
  <c r="GQ22" i="25"/>
  <c r="GL22" i="25"/>
  <c r="GM22" i="25" s="1"/>
  <c r="GN22" i="25" s="1"/>
  <c r="GI22" i="25"/>
  <c r="GE22" i="25"/>
  <c r="GF22" i="25" s="1"/>
  <c r="GC22" i="25"/>
  <c r="GB22" i="25"/>
  <c r="FZ22" i="25"/>
  <c r="FY22" i="25"/>
  <c r="FW22" i="25"/>
  <c r="FV22" i="25"/>
  <c r="FT22" i="25"/>
  <c r="FS22" i="25"/>
  <c r="FQ22" i="25"/>
  <c r="FP22" i="25"/>
  <c r="FJ22" i="25"/>
  <c r="FI22" i="25"/>
  <c r="FG22" i="25"/>
  <c r="FF22" i="25"/>
  <c r="FE22" i="25"/>
  <c r="FD22" i="25"/>
  <c r="FC22" i="25"/>
  <c r="FB22" i="25"/>
  <c r="EY22" i="25"/>
  <c r="EZ22" i="25" s="1"/>
  <c r="EX22" i="25"/>
  <c r="EW22" i="25"/>
  <c r="EU22" i="25"/>
  <c r="EV22" i="25" s="1"/>
  <c r="ES22" i="25"/>
  <c r="ER22" i="25"/>
  <c r="EP22" i="25"/>
  <c r="EO22" i="25"/>
  <c r="EN22" i="25" s="1"/>
  <c r="EQ22" i="25" s="1"/>
  <c r="EM22" i="25"/>
  <c r="EL22" i="25" s="1"/>
  <c r="EK22" i="25"/>
  <c r="EJ22" i="25"/>
  <c r="EI22" i="25"/>
  <c r="EG22" i="25"/>
  <c r="EH22" i="25" s="1"/>
  <c r="EF22" i="25"/>
  <c r="AW22" i="25" s="1"/>
  <c r="EE22" i="25"/>
  <c r="ED22" i="25"/>
  <c r="EC22" i="25"/>
  <c r="EB22" i="25"/>
  <c r="EA22" i="25"/>
  <c r="DZ22" i="25"/>
  <c r="DY22" i="25"/>
  <c r="DX22" i="25"/>
  <c r="DW22" i="25"/>
  <c r="DV22" i="25"/>
  <c r="DU22" i="25"/>
  <c r="DT22" i="25"/>
  <c r="DO22" i="25"/>
  <c r="DN22" i="25"/>
  <c r="DP22" i="25" s="1"/>
  <c r="DK22" i="25"/>
  <c r="DL22" i="25" s="1"/>
  <c r="DM22" i="25" s="1"/>
  <c r="DI22" i="25"/>
  <c r="DH22" i="25"/>
  <c r="DG22" i="25"/>
  <c r="DC22" i="25"/>
  <c r="DB22" i="25"/>
  <c r="DA22" i="25"/>
  <c r="CZ22" i="25"/>
  <c r="CY22" i="25"/>
  <c r="CX22" i="25"/>
  <c r="CW22" i="25"/>
  <c r="CV22" i="25"/>
  <c r="CS22" i="25"/>
  <c r="CR22" i="25"/>
  <c r="CQ22" i="25"/>
  <c r="CP22" i="25"/>
  <c r="CK22" i="25"/>
  <c r="CL22" i="25" s="1"/>
  <c r="CJ22" i="25"/>
  <c r="CH22" i="25"/>
  <c r="CI22" i="25" s="1"/>
  <c r="CG22" i="25"/>
  <c r="CF22" i="25"/>
  <c r="CD22" i="25"/>
  <c r="CC22" i="25"/>
  <c r="CB22" i="25"/>
  <c r="CA22" i="25"/>
  <c r="BZ22" i="25"/>
  <c r="BY22" i="25"/>
  <c r="BX22" i="25"/>
  <c r="BW22" i="25"/>
  <c r="BV22" i="25"/>
  <c r="BU22" i="25"/>
  <c r="BT22" i="25"/>
  <c r="BR22" i="25"/>
  <c r="BQ22" i="25"/>
  <c r="BP22" i="25"/>
  <c r="BO22" i="25"/>
  <c r="BN22" i="25"/>
  <c r="BM22" i="25"/>
  <c r="BL22" i="25"/>
  <c r="BK22" i="25"/>
  <c r="BJ22" i="25"/>
  <c r="BH22" i="25"/>
  <c r="BG22" i="25"/>
  <c r="BF22" i="25"/>
  <c r="BE22" i="25"/>
  <c r="BC22" i="25"/>
  <c r="CE22" i="25" s="1"/>
  <c r="BB22" i="25"/>
  <c r="BA22" i="25"/>
  <c r="AZ22" i="25"/>
  <c r="AX22" i="25"/>
  <c r="AY22" i="25" s="1"/>
  <c r="AV22" i="25"/>
  <c r="AP22" i="25"/>
  <c r="AL22" i="25"/>
  <c r="AK22" i="25"/>
  <c r="AJ22" i="25"/>
  <c r="AI22" i="25"/>
  <c r="AE22" i="25"/>
  <c r="K22" i="25"/>
  <c r="DD22" i="25" s="1"/>
  <c r="GQ21" i="25"/>
  <c r="GL21" i="25"/>
  <c r="GM21" i="25" s="1"/>
  <c r="GN21" i="25" s="1"/>
  <c r="GI21" i="25"/>
  <c r="GE21" i="25"/>
  <c r="GF21" i="25" s="1"/>
  <c r="GC21" i="25"/>
  <c r="GB21" i="25"/>
  <c r="FZ21" i="25"/>
  <c r="FY21" i="25"/>
  <c r="FW21" i="25"/>
  <c r="FV21" i="25"/>
  <c r="FT21" i="25"/>
  <c r="FS21" i="25"/>
  <c r="FQ21" i="25"/>
  <c r="FP21" i="25"/>
  <c r="FJ21" i="25"/>
  <c r="FI21" i="25"/>
  <c r="FG21" i="25"/>
  <c r="FF21" i="25"/>
  <c r="FE21" i="25"/>
  <c r="FD21" i="25"/>
  <c r="FC21" i="25"/>
  <c r="FB21" i="25"/>
  <c r="EX21" i="25"/>
  <c r="EW21" i="25"/>
  <c r="EY21" i="25" s="1"/>
  <c r="EZ21" i="25" s="1"/>
  <c r="EU21" i="25"/>
  <c r="EV21" i="25" s="1"/>
  <c r="ES21" i="25"/>
  <c r="ER21" i="25"/>
  <c r="EP21" i="25"/>
  <c r="EO21" i="25"/>
  <c r="EN21" i="25" s="1"/>
  <c r="EQ21" i="25" s="1"/>
  <c r="EM21" i="25"/>
  <c r="EL21" i="25" s="1"/>
  <c r="EK21" i="25"/>
  <c r="EJ21" i="25"/>
  <c r="EI21" i="25"/>
  <c r="EG21" i="25"/>
  <c r="EH21" i="25" s="1"/>
  <c r="EF21" i="25"/>
  <c r="AW21" i="25" s="1"/>
  <c r="EE21" i="25"/>
  <c r="ED21" i="25"/>
  <c r="EC21" i="25"/>
  <c r="EB21" i="25"/>
  <c r="EA21" i="25"/>
  <c r="DZ21" i="25"/>
  <c r="DY21" i="25"/>
  <c r="DX21" i="25"/>
  <c r="DW21" i="25"/>
  <c r="DV21" i="25"/>
  <c r="DU21" i="25"/>
  <c r="DT21" i="25"/>
  <c r="DO21" i="25"/>
  <c r="DN21" i="25"/>
  <c r="DP21" i="25" s="1"/>
  <c r="DK21" i="25"/>
  <c r="DL21" i="25" s="1"/>
  <c r="DM21" i="25" s="1"/>
  <c r="DI21" i="25"/>
  <c r="DH21" i="25"/>
  <c r="DG21" i="25"/>
  <c r="DD21" i="25"/>
  <c r="DC21" i="25"/>
  <c r="DB21" i="25"/>
  <c r="DA21" i="25"/>
  <c r="CZ21" i="25"/>
  <c r="CY21" i="25"/>
  <c r="CX21" i="25"/>
  <c r="CW21" i="25"/>
  <c r="CV21" i="25"/>
  <c r="CS21" i="25"/>
  <c r="CR21" i="25"/>
  <c r="CQ21" i="25"/>
  <c r="CP21" i="25"/>
  <c r="CK21" i="25"/>
  <c r="CL21" i="25" s="1"/>
  <c r="CJ21" i="25"/>
  <c r="CH21" i="25"/>
  <c r="CI21" i="25" s="1"/>
  <c r="CG21" i="25"/>
  <c r="CF21" i="25"/>
  <c r="CD21" i="25"/>
  <c r="CC21" i="25"/>
  <c r="CB21" i="25"/>
  <c r="CA21" i="25"/>
  <c r="BZ21" i="25"/>
  <c r="BY21" i="25"/>
  <c r="BX21" i="25"/>
  <c r="BW21" i="25"/>
  <c r="BV21" i="25"/>
  <c r="BU21" i="25"/>
  <c r="BT21" i="25"/>
  <c r="BR21" i="25"/>
  <c r="BQ21" i="25"/>
  <c r="BP21" i="25"/>
  <c r="BO21" i="25"/>
  <c r="BN21" i="25"/>
  <c r="BM21" i="25"/>
  <c r="BL21" i="25"/>
  <c r="BK21" i="25"/>
  <c r="BJ21" i="25"/>
  <c r="BH21" i="25"/>
  <c r="BG21" i="25"/>
  <c r="BF21" i="25"/>
  <c r="BE21" i="25"/>
  <c r="BC21" i="25"/>
  <c r="CE21" i="25" s="1"/>
  <c r="BB21" i="25"/>
  <c r="BA21" i="25"/>
  <c r="AZ21" i="25"/>
  <c r="AX21" i="25"/>
  <c r="AY21" i="25" s="1"/>
  <c r="AV21" i="25"/>
  <c r="AP21" i="25"/>
  <c r="AL21" i="25"/>
  <c r="AK21" i="25"/>
  <c r="AJ21" i="25"/>
  <c r="AI21" i="25"/>
  <c r="AE21" i="25"/>
  <c r="K21" i="25"/>
  <c r="GQ20" i="25"/>
  <c r="GL20" i="25"/>
  <c r="GM20" i="25" s="1"/>
  <c r="GN20" i="25" s="1"/>
  <c r="GI20" i="25"/>
  <c r="GE20" i="25"/>
  <c r="GF20" i="25" s="1"/>
  <c r="GC20" i="25"/>
  <c r="GB20" i="25"/>
  <c r="FZ20" i="25"/>
  <c r="FY20" i="25"/>
  <c r="FW20" i="25"/>
  <c r="FV20" i="25"/>
  <c r="FT20" i="25"/>
  <c r="FS20" i="25"/>
  <c r="FQ20" i="25"/>
  <c r="FP20" i="25"/>
  <c r="FJ20" i="25"/>
  <c r="FK20" i="25" s="1"/>
  <c r="FO20" i="25" s="1"/>
  <c r="FI20" i="25"/>
  <c r="FG20" i="25"/>
  <c r="FF20" i="25"/>
  <c r="FE20" i="25"/>
  <c r="FD20" i="25"/>
  <c r="FC20" i="25"/>
  <c r="FB20" i="25"/>
  <c r="EX20" i="25"/>
  <c r="EW20" i="25"/>
  <c r="EY20" i="25" s="1"/>
  <c r="EZ20" i="25" s="1"/>
  <c r="EU20" i="25"/>
  <c r="EV20" i="25" s="1"/>
  <c r="ES20" i="25"/>
  <c r="ER20" i="25"/>
  <c r="EP20" i="25"/>
  <c r="EO20" i="25"/>
  <c r="EN20" i="25" s="1"/>
  <c r="EQ20" i="25" s="1"/>
  <c r="EM20" i="25"/>
  <c r="EL20" i="25" s="1"/>
  <c r="EK20" i="25"/>
  <c r="EJ20" i="25"/>
  <c r="EI20" i="25"/>
  <c r="EG20" i="25"/>
  <c r="EH20" i="25" s="1"/>
  <c r="EF20" i="25"/>
  <c r="AW20" i="25" s="1"/>
  <c r="EE20" i="25"/>
  <c r="ED20" i="25"/>
  <c r="EC20" i="25"/>
  <c r="EB20" i="25"/>
  <c r="EA20" i="25"/>
  <c r="DZ20" i="25"/>
  <c r="DY20" i="25"/>
  <c r="DX20" i="25"/>
  <c r="DW20" i="25"/>
  <c r="DV20" i="25"/>
  <c r="DU20" i="25"/>
  <c r="DT20" i="25"/>
  <c r="DO20" i="25"/>
  <c r="DN20" i="25"/>
  <c r="DP20" i="25" s="1"/>
  <c r="DK20" i="25"/>
  <c r="DL20" i="25" s="1"/>
  <c r="DM20" i="25" s="1"/>
  <c r="DI20" i="25"/>
  <c r="DH20" i="25"/>
  <c r="DG20" i="25"/>
  <c r="DD20" i="25"/>
  <c r="DC20" i="25"/>
  <c r="DB20" i="25"/>
  <c r="DA20" i="25"/>
  <c r="CZ20" i="25"/>
  <c r="CY20" i="25"/>
  <c r="CX20" i="25"/>
  <c r="CW20" i="25"/>
  <c r="CV20" i="25"/>
  <c r="CS20" i="25"/>
  <c r="CR20" i="25"/>
  <c r="CQ20" i="25"/>
  <c r="CP20" i="25"/>
  <c r="CK20" i="25"/>
  <c r="CL20" i="25" s="1"/>
  <c r="CJ20" i="25"/>
  <c r="CH20" i="25"/>
  <c r="CI20" i="25" s="1"/>
  <c r="CG20" i="25"/>
  <c r="CF20" i="25"/>
  <c r="CD20" i="25"/>
  <c r="CC20" i="25"/>
  <c r="CB20" i="25"/>
  <c r="CA20" i="25"/>
  <c r="BZ20" i="25"/>
  <c r="BY20" i="25"/>
  <c r="BX20" i="25"/>
  <c r="BW20" i="25"/>
  <c r="BV20" i="25"/>
  <c r="BU20" i="25"/>
  <c r="BT20" i="25"/>
  <c r="BR20" i="25"/>
  <c r="BQ20" i="25"/>
  <c r="BP20" i="25"/>
  <c r="BO20" i="25"/>
  <c r="BN20" i="25"/>
  <c r="BM20" i="25"/>
  <c r="BL20" i="25"/>
  <c r="BS20" i="25" s="1"/>
  <c r="BK20" i="25"/>
  <c r="BJ20" i="25"/>
  <c r="BH20" i="25"/>
  <c r="BG20" i="25"/>
  <c r="BF20" i="25"/>
  <c r="BE20" i="25"/>
  <c r="BD20" i="25"/>
  <c r="BC20" i="25"/>
  <c r="CE20" i="25" s="1"/>
  <c r="BB20" i="25"/>
  <c r="BA20" i="25"/>
  <c r="AZ20" i="25"/>
  <c r="AX20" i="25"/>
  <c r="AY20" i="25" s="1"/>
  <c r="AV20" i="25"/>
  <c r="AP20" i="25"/>
  <c r="AL20" i="25"/>
  <c r="AK20" i="25"/>
  <c r="AJ20" i="25"/>
  <c r="AI20" i="25"/>
  <c r="AE20" i="25"/>
  <c r="K20" i="25"/>
  <c r="GQ19" i="25"/>
  <c r="GL19" i="25"/>
  <c r="GM19" i="25" s="1"/>
  <c r="GN19" i="25" s="1"/>
  <c r="GI19" i="25"/>
  <c r="GE19" i="25"/>
  <c r="GF19" i="25" s="1"/>
  <c r="GC19" i="25"/>
  <c r="GB19" i="25"/>
  <c r="FZ19" i="25"/>
  <c r="FY19" i="25"/>
  <c r="FW19" i="25"/>
  <c r="FV19" i="25"/>
  <c r="FT19" i="25"/>
  <c r="FS19" i="25"/>
  <c r="FQ19" i="25"/>
  <c r="FP19" i="25"/>
  <c r="FJ19" i="25"/>
  <c r="FK19" i="25" s="1"/>
  <c r="FO19" i="25" s="1"/>
  <c r="FI19" i="25"/>
  <c r="FG19" i="25"/>
  <c r="FF19" i="25"/>
  <c r="FE19" i="25"/>
  <c r="FD19" i="25"/>
  <c r="FC19" i="25"/>
  <c r="FB19" i="25"/>
  <c r="EY19" i="25"/>
  <c r="EZ19" i="25" s="1"/>
  <c r="EX19" i="25"/>
  <c r="EW19" i="25"/>
  <c r="EU19" i="25"/>
  <c r="EV19" i="25" s="1"/>
  <c r="ES19" i="25"/>
  <c r="ER19" i="25"/>
  <c r="EP19" i="25"/>
  <c r="EO19" i="25"/>
  <c r="EN19" i="25" s="1"/>
  <c r="EQ19" i="25" s="1"/>
  <c r="EM19" i="25"/>
  <c r="EL19" i="25" s="1"/>
  <c r="EK19" i="25"/>
  <c r="EJ19" i="25"/>
  <c r="EI19" i="25"/>
  <c r="EG19" i="25"/>
  <c r="EH19" i="25" s="1"/>
  <c r="EF19" i="25"/>
  <c r="AW19" i="25" s="1"/>
  <c r="EE19" i="25"/>
  <c r="ED19" i="25"/>
  <c r="EC19" i="25"/>
  <c r="EB19" i="25"/>
  <c r="EA19" i="25"/>
  <c r="DZ19" i="25"/>
  <c r="DY19" i="25"/>
  <c r="DX19" i="25"/>
  <c r="DW19" i="25"/>
  <c r="DV19" i="25"/>
  <c r="DU19" i="25"/>
  <c r="DT19" i="25"/>
  <c r="DO19" i="25"/>
  <c r="DN19" i="25"/>
  <c r="DP19" i="25" s="1"/>
  <c r="DK19" i="25"/>
  <c r="DL19" i="25" s="1"/>
  <c r="DM19" i="25" s="1"/>
  <c r="DI19" i="25"/>
  <c r="DH19" i="25"/>
  <c r="DG19" i="25"/>
  <c r="DC19" i="25"/>
  <c r="DB19" i="25"/>
  <c r="DA19" i="25"/>
  <c r="CZ19" i="25"/>
  <c r="CY19" i="25"/>
  <c r="CX19" i="25"/>
  <c r="CW19" i="25"/>
  <c r="CV19" i="25"/>
  <c r="CS19" i="25"/>
  <c r="CR19" i="25"/>
  <c r="CQ19" i="25"/>
  <c r="CP19" i="25"/>
  <c r="CK19" i="25"/>
  <c r="CL19" i="25" s="1"/>
  <c r="CJ19" i="25"/>
  <c r="CH19" i="25"/>
  <c r="CI19" i="25" s="1"/>
  <c r="CG19" i="25"/>
  <c r="CF19" i="25"/>
  <c r="CD19" i="25"/>
  <c r="CC19" i="25"/>
  <c r="CB19" i="25"/>
  <c r="CA19" i="25"/>
  <c r="BZ19" i="25"/>
  <c r="BY19" i="25"/>
  <c r="BX19" i="25"/>
  <c r="BW19" i="25"/>
  <c r="BV19" i="25"/>
  <c r="BU19" i="25"/>
  <c r="BT19" i="25"/>
  <c r="BR19" i="25"/>
  <c r="BQ19" i="25"/>
  <c r="BP19" i="25"/>
  <c r="BO19" i="25"/>
  <c r="BN19" i="25"/>
  <c r="BM19" i="25"/>
  <c r="DR19" i="25" s="1"/>
  <c r="BL19" i="25"/>
  <c r="BS19" i="25" s="1"/>
  <c r="BK19" i="25"/>
  <c r="BJ19" i="25"/>
  <c r="BH19" i="25"/>
  <c r="BG19" i="25"/>
  <c r="BF19" i="25"/>
  <c r="BD19" i="25"/>
  <c r="BC19" i="25"/>
  <c r="CE19" i="25" s="1"/>
  <c r="BB19" i="25"/>
  <c r="BA19" i="25"/>
  <c r="BI19" i="25" s="1"/>
  <c r="AZ19" i="25"/>
  <c r="AX19" i="25"/>
  <c r="AY19" i="25" s="1"/>
  <c r="AV19" i="25"/>
  <c r="AP19" i="25"/>
  <c r="AL19" i="25"/>
  <c r="AK19" i="25"/>
  <c r="AJ19" i="25"/>
  <c r="AI19" i="25"/>
  <c r="AE19" i="25"/>
  <c r="K19" i="25"/>
  <c r="DD19" i="25" s="1"/>
  <c r="GQ18" i="25"/>
  <c r="GL18" i="25"/>
  <c r="GM18" i="25" s="1"/>
  <c r="GN18" i="25" s="1"/>
  <c r="GI18" i="25"/>
  <c r="GE18" i="25"/>
  <c r="GF18" i="25" s="1"/>
  <c r="GC18" i="25"/>
  <c r="GB18" i="25"/>
  <c r="FZ18" i="25"/>
  <c r="FY18" i="25"/>
  <c r="FW18" i="25"/>
  <c r="FV18" i="25"/>
  <c r="FT18" i="25"/>
  <c r="FS18" i="25"/>
  <c r="FQ18" i="25"/>
  <c r="FP18" i="25"/>
  <c r="FJ18" i="25"/>
  <c r="FK18" i="25" s="1"/>
  <c r="FO18" i="25" s="1"/>
  <c r="FI18" i="25"/>
  <c r="FG18" i="25"/>
  <c r="FF18" i="25"/>
  <c r="FE18" i="25"/>
  <c r="FD18" i="25"/>
  <c r="FC18" i="25"/>
  <c r="FB18" i="25"/>
  <c r="EX18" i="25"/>
  <c r="EW18" i="25"/>
  <c r="EY18" i="25" s="1"/>
  <c r="EZ18" i="25" s="1"/>
  <c r="EU18" i="25"/>
  <c r="EV18" i="25" s="1"/>
  <c r="ES18" i="25"/>
  <c r="ER18" i="25"/>
  <c r="EP18" i="25"/>
  <c r="EO18" i="25"/>
  <c r="EN18" i="25" s="1"/>
  <c r="EQ18" i="25" s="1"/>
  <c r="EM18" i="25"/>
  <c r="EL18" i="25" s="1"/>
  <c r="EK18" i="25"/>
  <c r="EJ18" i="25"/>
  <c r="EI18" i="25"/>
  <c r="EG18" i="25"/>
  <c r="EH18" i="25" s="1"/>
  <c r="EF18" i="25"/>
  <c r="AW18" i="25" s="1"/>
  <c r="EE18" i="25"/>
  <c r="ED18" i="25"/>
  <c r="EC18" i="25"/>
  <c r="EB18" i="25"/>
  <c r="EA18" i="25"/>
  <c r="DZ18" i="25"/>
  <c r="DY18" i="25"/>
  <c r="DX18" i="25"/>
  <c r="DW18" i="25"/>
  <c r="DV18" i="25"/>
  <c r="DU18" i="25"/>
  <c r="DT18" i="25"/>
  <c r="DO18" i="25"/>
  <c r="DN18" i="25"/>
  <c r="DP18" i="25" s="1"/>
  <c r="DK18" i="25"/>
  <c r="DL18" i="25" s="1"/>
  <c r="DM18" i="25" s="1"/>
  <c r="DI18" i="25"/>
  <c r="DH18" i="25"/>
  <c r="DG18" i="25"/>
  <c r="DC18" i="25"/>
  <c r="DB18" i="25"/>
  <c r="DA18" i="25"/>
  <c r="CZ18" i="25"/>
  <c r="CY18" i="25"/>
  <c r="CX18" i="25"/>
  <c r="CW18" i="25"/>
  <c r="CV18" i="25"/>
  <c r="CS18" i="25"/>
  <c r="CR18" i="25"/>
  <c r="CQ18" i="25"/>
  <c r="CP18" i="25"/>
  <c r="CK18" i="25"/>
  <c r="CL18" i="25" s="1"/>
  <c r="CJ18" i="25"/>
  <c r="CH18" i="25"/>
  <c r="CI18" i="25" s="1"/>
  <c r="CG18" i="25"/>
  <c r="CF18" i="25"/>
  <c r="CD18" i="25"/>
  <c r="CC18" i="25"/>
  <c r="CB18" i="25"/>
  <c r="CA18" i="25"/>
  <c r="BZ18" i="25"/>
  <c r="BY18" i="25"/>
  <c r="BX18" i="25"/>
  <c r="BW18" i="25"/>
  <c r="BV18" i="25"/>
  <c r="BU18" i="25"/>
  <c r="BT18" i="25"/>
  <c r="BR18" i="25"/>
  <c r="BQ18" i="25"/>
  <c r="BP18" i="25"/>
  <c r="BO18" i="25"/>
  <c r="BN18" i="25"/>
  <c r="BM18" i="25"/>
  <c r="BL18" i="25"/>
  <c r="BK18" i="25"/>
  <c r="BJ18" i="25"/>
  <c r="BH18" i="25"/>
  <c r="BG18" i="25"/>
  <c r="BF18" i="25"/>
  <c r="BE18" i="25"/>
  <c r="BD18" i="25"/>
  <c r="BC18" i="25"/>
  <c r="CE18" i="25" s="1"/>
  <c r="BB18" i="25"/>
  <c r="BA18" i="25"/>
  <c r="AZ18" i="25"/>
  <c r="AX18" i="25"/>
  <c r="AY18" i="25" s="1"/>
  <c r="AV18" i="25"/>
  <c r="AP18" i="25"/>
  <c r="AL18" i="25"/>
  <c r="AK18" i="25"/>
  <c r="AJ18" i="25"/>
  <c r="AI18" i="25"/>
  <c r="AE18" i="25"/>
  <c r="K18" i="25"/>
  <c r="DD18" i="25" s="1"/>
  <c r="GQ17" i="25"/>
  <c r="GL17" i="25"/>
  <c r="GM17" i="25" s="1"/>
  <c r="GN17" i="25" s="1"/>
  <c r="GI17" i="25"/>
  <c r="GE17" i="25"/>
  <c r="GF17" i="25" s="1"/>
  <c r="GC17" i="25"/>
  <c r="GB17" i="25"/>
  <c r="FZ17" i="25"/>
  <c r="FY17" i="25"/>
  <c r="FW17" i="25"/>
  <c r="FV17" i="25"/>
  <c r="FX17" i="25" s="1"/>
  <c r="FT17" i="25"/>
  <c r="FS17" i="25"/>
  <c r="FQ17" i="25"/>
  <c r="FP17" i="25"/>
  <c r="FJ17" i="25"/>
  <c r="FK17" i="25" s="1"/>
  <c r="FO17" i="25" s="1"/>
  <c r="FI17" i="25"/>
  <c r="FG17" i="25"/>
  <c r="FF17" i="25"/>
  <c r="FE17" i="25"/>
  <c r="FD17" i="25"/>
  <c r="FC17" i="25"/>
  <c r="FB17" i="25"/>
  <c r="EY17" i="25"/>
  <c r="EZ17" i="25" s="1"/>
  <c r="EX17" i="25"/>
  <c r="EW17" i="25"/>
  <c r="EU17" i="25"/>
  <c r="EV17" i="25" s="1"/>
  <c r="ES17" i="25"/>
  <c r="ER17" i="25"/>
  <c r="EP17" i="25"/>
  <c r="EO17" i="25"/>
  <c r="EN17" i="25" s="1"/>
  <c r="EQ17" i="25" s="1"/>
  <c r="EM17" i="25"/>
  <c r="EL17" i="25" s="1"/>
  <c r="EK17" i="25"/>
  <c r="EJ17" i="25"/>
  <c r="EI17" i="25"/>
  <c r="EG17" i="25"/>
  <c r="EH17" i="25" s="1"/>
  <c r="EF17" i="25"/>
  <c r="AW17" i="25" s="1"/>
  <c r="EE17" i="25"/>
  <c r="ED17" i="25"/>
  <c r="EC17" i="25"/>
  <c r="EB17" i="25"/>
  <c r="EA17" i="25"/>
  <c r="DZ17" i="25"/>
  <c r="DY17" i="25"/>
  <c r="DX17" i="25"/>
  <c r="DW17" i="25"/>
  <c r="DV17" i="25"/>
  <c r="DU17" i="25"/>
  <c r="DT17" i="25"/>
  <c r="DO17" i="25"/>
  <c r="DN17" i="25"/>
  <c r="DP17" i="25" s="1"/>
  <c r="DK17" i="25"/>
  <c r="DL17" i="25" s="1"/>
  <c r="DM17" i="25" s="1"/>
  <c r="DI17" i="25"/>
  <c r="DH17" i="25"/>
  <c r="DG17" i="25"/>
  <c r="DC17" i="25"/>
  <c r="DB17" i="25"/>
  <c r="DA17" i="25"/>
  <c r="CZ17" i="25"/>
  <c r="CY17" i="25"/>
  <c r="CX17" i="25"/>
  <c r="CW17" i="25"/>
  <c r="CV17" i="25"/>
  <c r="CS17" i="25"/>
  <c r="CR17" i="25"/>
  <c r="CQ17" i="25"/>
  <c r="CP17" i="25"/>
  <c r="CK17" i="25"/>
  <c r="CL17" i="25" s="1"/>
  <c r="CJ17" i="25"/>
  <c r="CH17" i="25"/>
  <c r="CI17" i="25" s="1"/>
  <c r="CG17" i="25"/>
  <c r="CF17" i="25"/>
  <c r="CD17" i="25"/>
  <c r="CC17" i="25"/>
  <c r="CB17" i="25"/>
  <c r="CA17" i="25"/>
  <c r="BZ17" i="25"/>
  <c r="BY17" i="25"/>
  <c r="BX17" i="25"/>
  <c r="BW17" i="25"/>
  <c r="BV17" i="25"/>
  <c r="BU17" i="25"/>
  <c r="BT17" i="25"/>
  <c r="BR17" i="25"/>
  <c r="BQ17" i="25"/>
  <c r="BP17" i="25"/>
  <c r="BO17" i="25"/>
  <c r="BN17" i="25"/>
  <c r="BM17" i="25"/>
  <c r="BL17" i="25"/>
  <c r="BK17" i="25"/>
  <c r="BJ17" i="25"/>
  <c r="BH17" i="25"/>
  <c r="BG17" i="25"/>
  <c r="BF17" i="25"/>
  <c r="BE17" i="25"/>
  <c r="BC17" i="25"/>
  <c r="CE17" i="25" s="1"/>
  <c r="BB17" i="25"/>
  <c r="BA17" i="25"/>
  <c r="AZ17" i="25"/>
  <c r="AX17" i="25"/>
  <c r="AY17" i="25" s="1"/>
  <c r="AV17" i="25"/>
  <c r="AP17" i="25"/>
  <c r="AL17" i="25"/>
  <c r="AK17" i="25"/>
  <c r="AJ17" i="25"/>
  <c r="AI17" i="25"/>
  <c r="AE17" i="25"/>
  <c r="K17" i="25"/>
  <c r="DD17" i="25" s="1"/>
  <c r="GQ16" i="25"/>
  <c r="GL16" i="25"/>
  <c r="GM16" i="25" s="1"/>
  <c r="GN16" i="25" s="1"/>
  <c r="GI16" i="25"/>
  <c r="GE16" i="25"/>
  <c r="GF16" i="25" s="1"/>
  <c r="GC16" i="25"/>
  <c r="GB16" i="25"/>
  <c r="FZ16" i="25"/>
  <c r="FY16" i="25"/>
  <c r="FW16" i="25"/>
  <c r="FV16" i="25"/>
  <c r="FT16" i="25"/>
  <c r="FS16" i="25"/>
  <c r="FQ16" i="25"/>
  <c r="FP16" i="25"/>
  <c r="FJ16" i="25"/>
  <c r="FI16" i="25"/>
  <c r="EX16" i="25"/>
  <c r="EW16" i="25"/>
  <c r="EY16" i="25" s="1"/>
  <c r="EZ16" i="25" s="1"/>
  <c r="EU16" i="25"/>
  <c r="EV16" i="25" s="1"/>
  <c r="ES16" i="25"/>
  <c r="ER16" i="25"/>
  <c r="EP16" i="25"/>
  <c r="EO16" i="25"/>
  <c r="EN16" i="25" s="1"/>
  <c r="EQ16" i="25" s="1"/>
  <c r="EM16" i="25"/>
  <c r="EL16" i="25" s="1"/>
  <c r="EK16" i="25"/>
  <c r="EJ16" i="25"/>
  <c r="EI16" i="25"/>
  <c r="EG16" i="25"/>
  <c r="EH16" i="25" s="1"/>
  <c r="EF16" i="25"/>
  <c r="AW16" i="25" s="1"/>
  <c r="EE16" i="25"/>
  <c r="ED16" i="25"/>
  <c r="EC16" i="25"/>
  <c r="EB16" i="25"/>
  <c r="EA16" i="25"/>
  <c r="DY16" i="25"/>
  <c r="DX16" i="25"/>
  <c r="DZ16" i="25" s="1"/>
  <c r="DW16" i="25"/>
  <c r="DV16" i="25"/>
  <c r="DU16" i="25"/>
  <c r="DT16" i="25"/>
  <c r="DO16" i="25"/>
  <c r="DN16" i="25"/>
  <c r="DP16" i="25" s="1"/>
  <c r="DK16" i="25"/>
  <c r="DL16" i="25" s="1"/>
  <c r="DM16" i="25" s="1"/>
  <c r="DI16" i="25"/>
  <c r="DH16" i="25"/>
  <c r="DG16" i="25"/>
  <c r="DC16" i="25"/>
  <c r="DB16" i="25"/>
  <c r="CZ16" i="25"/>
  <c r="CY16" i="25"/>
  <c r="CX16" i="25"/>
  <c r="CW16" i="25"/>
  <c r="DA16" i="25" s="1"/>
  <c r="CV16" i="25"/>
  <c r="CS16" i="25"/>
  <c r="CR16" i="25"/>
  <c r="CQ16" i="25"/>
  <c r="CP16" i="25"/>
  <c r="CK16" i="25"/>
  <c r="CL16" i="25" s="1"/>
  <c r="CJ16" i="25"/>
  <c r="CH16" i="25"/>
  <c r="CI16" i="25" s="1"/>
  <c r="CG16" i="25"/>
  <c r="CF16" i="25"/>
  <c r="CD16" i="25"/>
  <c r="CC16" i="25"/>
  <c r="CB16" i="25"/>
  <c r="CA16" i="25"/>
  <c r="BZ16" i="25"/>
  <c r="BY16" i="25"/>
  <c r="BX16" i="25"/>
  <c r="BW16" i="25"/>
  <c r="BV16" i="25"/>
  <c r="BU16" i="25"/>
  <c r="BT16" i="25"/>
  <c r="BR16" i="25"/>
  <c r="BQ16" i="25"/>
  <c r="BP16" i="25"/>
  <c r="BO16" i="25"/>
  <c r="BN16" i="25"/>
  <c r="BM16" i="25"/>
  <c r="BL16" i="25"/>
  <c r="BK16" i="25"/>
  <c r="BJ16" i="25"/>
  <c r="BH16" i="25"/>
  <c r="BG16" i="25"/>
  <c r="BF16" i="25"/>
  <c r="BC16" i="25"/>
  <c r="CE16" i="25" s="1"/>
  <c r="BB16" i="25"/>
  <c r="BA16" i="25"/>
  <c r="AZ16" i="25"/>
  <c r="AX16" i="25"/>
  <c r="AY16" i="25" s="1"/>
  <c r="AP16" i="25"/>
  <c r="AL16" i="25"/>
  <c r="AK16" i="25"/>
  <c r="AJ16" i="25"/>
  <c r="AI16" i="25"/>
  <c r="AE16" i="25"/>
  <c r="GQ15" i="25"/>
  <c r="GL15" i="25"/>
  <c r="GM15" i="25" s="1"/>
  <c r="GN15" i="25" s="1"/>
  <c r="GI15" i="25"/>
  <c r="GE15" i="25"/>
  <c r="GF15" i="25" s="1"/>
  <c r="GC15" i="25"/>
  <c r="GB15" i="25"/>
  <c r="FZ15" i="25"/>
  <c r="FY15" i="25"/>
  <c r="FW15" i="25"/>
  <c r="FV15" i="25"/>
  <c r="FT15" i="25"/>
  <c r="FS15" i="25"/>
  <c r="FQ15" i="25"/>
  <c r="FP15" i="25"/>
  <c r="FJ15" i="25"/>
  <c r="FK15" i="25" s="1"/>
  <c r="FO15" i="25" s="1"/>
  <c r="FI15" i="25"/>
  <c r="FG15" i="25"/>
  <c r="FF15" i="25"/>
  <c r="FE15" i="25"/>
  <c r="FD15" i="25"/>
  <c r="FC15" i="25"/>
  <c r="FB15" i="25"/>
  <c r="EX15" i="25"/>
  <c r="EW15" i="25"/>
  <c r="EY15" i="25" s="1"/>
  <c r="EZ15" i="25" s="1"/>
  <c r="EU15" i="25"/>
  <c r="EV15" i="25" s="1"/>
  <c r="ES15" i="25"/>
  <c r="ER15" i="25"/>
  <c r="EP15" i="25"/>
  <c r="EO15" i="25"/>
  <c r="EN15" i="25" s="1"/>
  <c r="EQ15" i="25" s="1"/>
  <c r="EM15" i="25"/>
  <c r="EL15" i="25" s="1"/>
  <c r="EK15" i="25"/>
  <c r="EJ15" i="25"/>
  <c r="EI15" i="25"/>
  <c r="EG15" i="25"/>
  <c r="EH15" i="25" s="1"/>
  <c r="EF15" i="25"/>
  <c r="AW15" i="25" s="1"/>
  <c r="EE15" i="25"/>
  <c r="ED15" i="25"/>
  <c r="EC15" i="25"/>
  <c r="EB15" i="25"/>
  <c r="EA15" i="25"/>
  <c r="DZ15" i="25"/>
  <c r="DY15" i="25"/>
  <c r="DX15" i="25"/>
  <c r="DW15" i="25"/>
  <c r="DV15" i="25"/>
  <c r="DU15" i="25"/>
  <c r="DT15" i="25"/>
  <c r="DO15" i="25"/>
  <c r="DN15" i="25"/>
  <c r="DP15" i="25" s="1"/>
  <c r="DK15" i="25"/>
  <c r="DL15" i="25" s="1"/>
  <c r="DM15" i="25" s="1"/>
  <c r="DI15" i="25"/>
  <c r="DH15" i="25"/>
  <c r="DG15" i="25"/>
  <c r="DD15" i="25"/>
  <c r="DC15" i="25"/>
  <c r="DB15" i="25"/>
  <c r="DA15" i="25"/>
  <c r="CZ15" i="25"/>
  <c r="CY15" i="25"/>
  <c r="CX15" i="25"/>
  <c r="CW15" i="25"/>
  <c r="CV15" i="25"/>
  <c r="CS15" i="25"/>
  <c r="CR15" i="25"/>
  <c r="CQ15" i="25"/>
  <c r="CP15" i="25"/>
  <c r="CK15" i="25"/>
  <c r="CL15" i="25" s="1"/>
  <c r="CJ15" i="25"/>
  <c r="CH15" i="25"/>
  <c r="CI15" i="25" s="1"/>
  <c r="CG15" i="25"/>
  <c r="CF15" i="25"/>
  <c r="CD15" i="25"/>
  <c r="CC15" i="25"/>
  <c r="CB15" i="25"/>
  <c r="CA15" i="25"/>
  <c r="BZ15" i="25"/>
  <c r="BY15" i="25"/>
  <c r="BX15" i="25"/>
  <c r="BW15" i="25"/>
  <c r="BV15" i="25"/>
  <c r="BU15" i="25"/>
  <c r="BT15" i="25"/>
  <c r="BR15" i="25"/>
  <c r="BQ15" i="25"/>
  <c r="BP15" i="25"/>
  <c r="BO15" i="25"/>
  <c r="BN15" i="25"/>
  <c r="BM15" i="25"/>
  <c r="BL15" i="25"/>
  <c r="BK15" i="25"/>
  <c r="BJ15" i="25"/>
  <c r="BH15" i="25"/>
  <c r="BG15" i="25"/>
  <c r="BF15" i="25"/>
  <c r="BE15" i="25"/>
  <c r="BD15" i="25"/>
  <c r="BC15" i="25"/>
  <c r="CE15" i="25" s="1"/>
  <c r="BB15" i="25"/>
  <c r="BA15" i="25"/>
  <c r="AZ15" i="25"/>
  <c r="AX15" i="25"/>
  <c r="AY15" i="25" s="1"/>
  <c r="AV15" i="25"/>
  <c r="AP15" i="25"/>
  <c r="AL15" i="25"/>
  <c r="AK15" i="25"/>
  <c r="AJ15" i="25"/>
  <c r="AI15" i="25"/>
  <c r="AE15" i="25"/>
  <c r="K15" i="25"/>
  <c r="GQ14" i="25"/>
  <c r="GL14" i="25"/>
  <c r="GM14" i="25" s="1"/>
  <c r="GN14" i="25" s="1"/>
  <c r="GI14" i="25"/>
  <c r="GE14" i="25"/>
  <c r="GF14" i="25" s="1"/>
  <c r="GC14" i="25"/>
  <c r="GB14" i="25"/>
  <c r="FZ14" i="25"/>
  <c r="FY14" i="25"/>
  <c r="FW14" i="25"/>
  <c r="FV14" i="25"/>
  <c r="FT14" i="25"/>
  <c r="FS14" i="25"/>
  <c r="FQ14" i="25"/>
  <c r="FP14" i="25"/>
  <c r="FJ14" i="25"/>
  <c r="FI14" i="25"/>
  <c r="FG14" i="25"/>
  <c r="FF14" i="25"/>
  <c r="FE14" i="25"/>
  <c r="FD14" i="25"/>
  <c r="FC14" i="25"/>
  <c r="FB14" i="25"/>
  <c r="EY14" i="25"/>
  <c r="EZ14" i="25" s="1"/>
  <c r="EX14" i="25"/>
  <c r="EW14" i="25"/>
  <c r="EU14" i="25"/>
  <c r="EV14" i="25" s="1"/>
  <c r="ES14" i="25"/>
  <c r="ER14" i="25"/>
  <c r="EP14" i="25"/>
  <c r="EO14" i="25"/>
  <c r="EN14" i="25" s="1"/>
  <c r="EQ14" i="25" s="1"/>
  <c r="EM14" i="25"/>
  <c r="EL14" i="25" s="1"/>
  <c r="EK14" i="25"/>
  <c r="EJ14" i="25"/>
  <c r="EI14" i="25"/>
  <c r="EG14" i="25"/>
  <c r="EH14" i="25" s="1"/>
  <c r="EF14" i="25"/>
  <c r="AW14" i="25" s="1"/>
  <c r="EE14" i="25"/>
  <c r="ED14" i="25"/>
  <c r="EC14" i="25"/>
  <c r="EB14" i="25"/>
  <c r="EA14" i="25"/>
  <c r="DZ14" i="25"/>
  <c r="DY14" i="25"/>
  <c r="DX14" i="25"/>
  <c r="DW14" i="25"/>
  <c r="DV14" i="25"/>
  <c r="DU14" i="25"/>
  <c r="DT14" i="25"/>
  <c r="DO14" i="25"/>
  <c r="DN14" i="25"/>
  <c r="DP14" i="25" s="1"/>
  <c r="DK14" i="25"/>
  <c r="DL14" i="25" s="1"/>
  <c r="DM14" i="25" s="1"/>
  <c r="DI14" i="25"/>
  <c r="DH14" i="25"/>
  <c r="DG14" i="25"/>
  <c r="DC14" i="25"/>
  <c r="DB14" i="25"/>
  <c r="DA14" i="25"/>
  <c r="CZ14" i="25"/>
  <c r="CY14" i="25"/>
  <c r="CX14" i="25"/>
  <c r="CW14" i="25"/>
  <c r="CV14" i="25"/>
  <c r="CS14" i="25"/>
  <c r="CR14" i="25"/>
  <c r="CQ14" i="25"/>
  <c r="CP14" i="25"/>
  <c r="CK14" i="25"/>
  <c r="CL14" i="25" s="1"/>
  <c r="CJ14" i="25"/>
  <c r="CH14" i="25"/>
  <c r="CI14" i="25" s="1"/>
  <c r="CG14" i="25"/>
  <c r="CF14" i="25"/>
  <c r="CD14" i="25"/>
  <c r="CC14" i="25"/>
  <c r="CB14" i="25"/>
  <c r="CA14" i="25"/>
  <c r="BZ14" i="25"/>
  <c r="BY14" i="25"/>
  <c r="BX14" i="25"/>
  <c r="BW14" i="25"/>
  <c r="BV14" i="25"/>
  <c r="BU14" i="25"/>
  <c r="BT14" i="25"/>
  <c r="BR14" i="25"/>
  <c r="BQ14" i="25"/>
  <c r="BP14" i="25"/>
  <c r="BO14" i="25"/>
  <c r="BN14" i="25"/>
  <c r="BM14" i="25"/>
  <c r="BL14" i="25"/>
  <c r="BK14" i="25"/>
  <c r="BJ14" i="25"/>
  <c r="BH14" i="25"/>
  <c r="BG14" i="25"/>
  <c r="BF14" i="25"/>
  <c r="BE14" i="25"/>
  <c r="BC14" i="25"/>
  <c r="CE14" i="25" s="1"/>
  <c r="BB14" i="25"/>
  <c r="BA14" i="25"/>
  <c r="AZ14" i="25"/>
  <c r="AX14" i="25"/>
  <c r="AY14" i="25" s="1"/>
  <c r="AV14" i="25"/>
  <c r="AP14" i="25"/>
  <c r="AL14" i="25"/>
  <c r="AK14" i="25"/>
  <c r="AJ14" i="25"/>
  <c r="AI14" i="25"/>
  <c r="AE14" i="25"/>
  <c r="K14" i="25"/>
  <c r="DD14" i="25" s="1"/>
  <c r="GQ13" i="25"/>
  <c r="GL13" i="25"/>
  <c r="GM13" i="25" s="1"/>
  <c r="GN13" i="25" s="1"/>
  <c r="GI13" i="25"/>
  <c r="GE13" i="25"/>
  <c r="GF13" i="25" s="1"/>
  <c r="GC13" i="25"/>
  <c r="GB13" i="25"/>
  <c r="FZ13" i="25"/>
  <c r="FY13" i="25"/>
  <c r="FW13" i="25"/>
  <c r="FV13" i="25"/>
  <c r="FT13" i="25"/>
  <c r="FS13" i="25"/>
  <c r="FQ13" i="25"/>
  <c r="FP13" i="25"/>
  <c r="FJ13" i="25"/>
  <c r="FI13" i="25"/>
  <c r="FG13" i="25"/>
  <c r="FF13" i="25"/>
  <c r="FE13" i="25"/>
  <c r="FD13" i="25"/>
  <c r="FC13" i="25"/>
  <c r="FB13" i="25"/>
  <c r="EX13" i="25"/>
  <c r="EW13" i="25"/>
  <c r="EY13" i="25" s="1"/>
  <c r="EZ13" i="25" s="1"/>
  <c r="EU13" i="25"/>
  <c r="EV13" i="25" s="1"/>
  <c r="ES13" i="25"/>
  <c r="ER13" i="25"/>
  <c r="EP13" i="25"/>
  <c r="EO13" i="25"/>
  <c r="EN13" i="25" s="1"/>
  <c r="EQ13" i="25" s="1"/>
  <c r="EM13" i="25"/>
  <c r="EL13" i="25" s="1"/>
  <c r="EK13" i="25"/>
  <c r="EJ13" i="25"/>
  <c r="EI13" i="25"/>
  <c r="EG13" i="25"/>
  <c r="EH13" i="25" s="1"/>
  <c r="EF13" i="25"/>
  <c r="AW13" i="25" s="1"/>
  <c r="EE13" i="25"/>
  <c r="ED13" i="25"/>
  <c r="EC13" i="25"/>
  <c r="EB13" i="25"/>
  <c r="EA13" i="25"/>
  <c r="DZ13" i="25"/>
  <c r="DY13" i="25"/>
  <c r="DX13" i="25"/>
  <c r="DW13" i="25"/>
  <c r="DV13" i="25"/>
  <c r="DU13" i="25"/>
  <c r="DT13" i="25"/>
  <c r="DO13" i="25"/>
  <c r="DN13" i="25"/>
  <c r="DP13" i="25" s="1"/>
  <c r="DK13" i="25"/>
  <c r="DL13" i="25" s="1"/>
  <c r="DM13" i="25" s="1"/>
  <c r="DI13" i="25"/>
  <c r="DH13" i="25"/>
  <c r="DG13" i="25"/>
  <c r="DC13" i="25"/>
  <c r="DB13" i="25"/>
  <c r="DA13" i="25"/>
  <c r="CZ13" i="25"/>
  <c r="CY13" i="25"/>
  <c r="CX13" i="25"/>
  <c r="CW13" i="25"/>
  <c r="CV13" i="25"/>
  <c r="CS13" i="25"/>
  <c r="CR13" i="25"/>
  <c r="CQ13" i="25"/>
  <c r="CP13" i="25"/>
  <c r="CK13" i="25"/>
  <c r="CL13" i="25" s="1"/>
  <c r="CJ13" i="25"/>
  <c r="CH13" i="25"/>
  <c r="CI13" i="25" s="1"/>
  <c r="CG13" i="25"/>
  <c r="CF13" i="25"/>
  <c r="CE13" i="25"/>
  <c r="CD13" i="25"/>
  <c r="CC13" i="25"/>
  <c r="CB13" i="25"/>
  <c r="CA13" i="25"/>
  <c r="BZ13" i="25"/>
  <c r="BY13" i="25"/>
  <c r="BX13" i="25"/>
  <c r="BW13" i="25"/>
  <c r="BV13" i="25"/>
  <c r="BU13" i="25"/>
  <c r="BT13" i="25"/>
  <c r="BR13" i="25"/>
  <c r="BQ13" i="25"/>
  <c r="BP13" i="25"/>
  <c r="BO13" i="25"/>
  <c r="BN13" i="25"/>
  <c r="BM13" i="25"/>
  <c r="BL13" i="25"/>
  <c r="BK13" i="25"/>
  <c r="BJ13" i="25"/>
  <c r="BH13" i="25"/>
  <c r="BG13" i="25"/>
  <c r="BF13" i="25"/>
  <c r="BE13" i="25"/>
  <c r="BC13" i="25"/>
  <c r="BD13" i="25" s="1"/>
  <c r="BB13" i="25"/>
  <c r="BA13" i="25"/>
  <c r="AZ13" i="25"/>
  <c r="AX13" i="25"/>
  <c r="AY13" i="25" s="1"/>
  <c r="AV13" i="25"/>
  <c r="AP13" i="25"/>
  <c r="AL13" i="25"/>
  <c r="AK13" i="25"/>
  <c r="AJ13" i="25"/>
  <c r="AI13" i="25"/>
  <c r="AE13" i="25"/>
  <c r="K13" i="25"/>
  <c r="DD13" i="25" s="1"/>
  <c r="GQ12" i="25"/>
  <c r="GL12" i="25"/>
  <c r="GM12" i="25" s="1"/>
  <c r="GN12" i="25" s="1"/>
  <c r="GI12" i="25"/>
  <c r="GE12" i="25"/>
  <c r="GF12" i="25" s="1"/>
  <c r="GC12" i="25"/>
  <c r="GB12" i="25"/>
  <c r="FZ12" i="25"/>
  <c r="FY12" i="25"/>
  <c r="FW12" i="25"/>
  <c r="FV12" i="25"/>
  <c r="FT12" i="25"/>
  <c r="FS12" i="25"/>
  <c r="FQ12" i="25"/>
  <c r="FP12" i="25"/>
  <c r="FJ12" i="25"/>
  <c r="FI12" i="25"/>
  <c r="FG12" i="25"/>
  <c r="FF12" i="25"/>
  <c r="FE12" i="25"/>
  <c r="FD12" i="25"/>
  <c r="FC12" i="25"/>
  <c r="FB12" i="25"/>
  <c r="EX12" i="25"/>
  <c r="EW12" i="25"/>
  <c r="EY12" i="25" s="1"/>
  <c r="EU12" i="25"/>
  <c r="EV12" i="25" s="1"/>
  <c r="ES12" i="25"/>
  <c r="ER12" i="25"/>
  <c r="EP12" i="25"/>
  <c r="EO12" i="25"/>
  <c r="EN12" i="25" s="1"/>
  <c r="EQ12" i="25" s="1"/>
  <c r="EM12" i="25"/>
  <c r="EL12" i="25" s="1"/>
  <c r="EK12" i="25"/>
  <c r="EJ12" i="25"/>
  <c r="EI12" i="25"/>
  <c r="EG12" i="25"/>
  <c r="EH12" i="25" s="1"/>
  <c r="EF12" i="25"/>
  <c r="AW12" i="25" s="1"/>
  <c r="EE12" i="25"/>
  <c r="ED12" i="25"/>
  <c r="EC12" i="25"/>
  <c r="EB12" i="25"/>
  <c r="EA12" i="25"/>
  <c r="DZ12" i="25"/>
  <c r="DY12" i="25"/>
  <c r="DX12" i="25"/>
  <c r="DW12" i="25"/>
  <c r="DV12" i="25"/>
  <c r="DU12" i="25"/>
  <c r="DT12" i="25"/>
  <c r="DO12" i="25"/>
  <c r="DN12" i="25"/>
  <c r="DP12" i="25" s="1"/>
  <c r="DK12" i="25"/>
  <c r="DL12" i="25" s="1"/>
  <c r="DM12" i="25" s="1"/>
  <c r="DI12" i="25"/>
  <c r="DH12" i="25"/>
  <c r="DG12" i="25"/>
  <c r="DC12" i="25"/>
  <c r="DB12" i="25"/>
  <c r="DA12" i="25"/>
  <c r="CZ12" i="25"/>
  <c r="CY12" i="25"/>
  <c r="CX12" i="25"/>
  <c r="CW12" i="25"/>
  <c r="CV12" i="25"/>
  <c r="CS12" i="25"/>
  <c r="CR12" i="25"/>
  <c r="CQ12" i="25"/>
  <c r="CP12" i="25"/>
  <c r="CO12" i="25"/>
  <c r="CK12" i="25"/>
  <c r="CL12" i="25" s="1"/>
  <c r="CJ12" i="25"/>
  <c r="CH12" i="25"/>
  <c r="CI12" i="25" s="1"/>
  <c r="CG12" i="25"/>
  <c r="CF12" i="25"/>
  <c r="CD12" i="25"/>
  <c r="CC12" i="25"/>
  <c r="CB12" i="25"/>
  <c r="CA12" i="25"/>
  <c r="BZ12" i="25"/>
  <c r="BY12" i="25"/>
  <c r="BX12" i="25"/>
  <c r="BW12" i="25"/>
  <c r="BV12" i="25"/>
  <c r="BU12" i="25"/>
  <c r="BT12" i="25"/>
  <c r="BR12" i="25"/>
  <c r="BQ12" i="25"/>
  <c r="BP12" i="25"/>
  <c r="BO12" i="25"/>
  <c r="BN12" i="25"/>
  <c r="BM12" i="25"/>
  <c r="BL12" i="25"/>
  <c r="BK12" i="25"/>
  <c r="BJ12" i="25"/>
  <c r="BH12" i="25"/>
  <c r="BG12" i="25"/>
  <c r="BF12" i="25"/>
  <c r="BC12" i="25"/>
  <c r="CE12" i="25" s="1"/>
  <c r="BB12" i="25"/>
  <c r="BA12" i="25"/>
  <c r="AZ12" i="25"/>
  <c r="AX12" i="25"/>
  <c r="AY12" i="25" s="1"/>
  <c r="AV12" i="25"/>
  <c r="AP12" i="25"/>
  <c r="AL12" i="25"/>
  <c r="AK12" i="25"/>
  <c r="AJ12" i="25"/>
  <c r="AI12" i="25"/>
  <c r="AE12" i="25"/>
  <c r="K12" i="25"/>
  <c r="DD12" i="25" s="1"/>
  <c r="GQ11" i="25"/>
  <c r="GL11" i="25"/>
  <c r="GM11" i="25" s="1"/>
  <c r="GN11" i="25" s="1"/>
  <c r="GJ11" i="25"/>
  <c r="GI11" i="25"/>
  <c r="GE11" i="25"/>
  <c r="GF11" i="25" s="1"/>
  <c r="GC11" i="25"/>
  <c r="GB11" i="25"/>
  <c r="FZ11" i="25"/>
  <c r="FY11" i="25"/>
  <c r="FW11" i="25"/>
  <c r="FV11" i="25"/>
  <c r="FT11" i="25"/>
  <c r="FS11" i="25"/>
  <c r="FQ11" i="25"/>
  <c r="FP11" i="25"/>
  <c r="FJ11" i="25"/>
  <c r="FI11" i="25"/>
  <c r="FG11" i="25"/>
  <c r="FF11" i="25"/>
  <c r="FE11" i="25"/>
  <c r="FD11" i="25"/>
  <c r="FC11" i="25"/>
  <c r="FB11" i="25"/>
  <c r="EX11" i="25"/>
  <c r="EW11" i="25"/>
  <c r="EY11" i="25" s="1"/>
  <c r="EU11" i="25"/>
  <c r="EV11" i="25" s="1"/>
  <c r="ES11" i="25"/>
  <c r="ER11" i="25"/>
  <c r="EP11" i="25"/>
  <c r="EO11" i="25"/>
  <c r="EN11" i="25" s="1"/>
  <c r="EQ11" i="25" s="1"/>
  <c r="EM11" i="25"/>
  <c r="EL11" i="25" s="1"/>
  <c r="EK11" i="25"/>
  <c r="EJ11" i="25"/>
  <c r="EI11" i="25"/>
  <c r="EG11" i="25"/>
  <c r="EH11" i="25" s="1"/>
  <c r="EF11" i="25"/>
  <c r="AW11" i="25" s="1"/>
  <c r="EE11" i="25"/>
  <c r="ED11" i="25"/>
  <c r="EC11" i="25"/>
  <c r="EB11" i="25"/>
  <c r="EA11" i="25"/>
  <c r="DZ11" i="25"/>
  <c r="DY11" i="25"/>
  <c r="DX11" i="25"/>
  <c r="DW11" i="25"/>
  <c r="DV11" i="25"/>
  <c r="DU11" i="25"/>
  <c r="DT11" i="25"/>
  <c r="DO11" i="25"/>
  <c r="DN11" i="25"/>
  <c r="DP11" i="25" s="1"/>
  <c r="DK11" i="25"/>
  <c r="DL11" i="25" s="1"/>
  <c r="DM11" i="25" s="1"/>
  <c r="DI11" i="25"/>
  <c r="DH11" i="25"/>
  <c r="DG11" i="25"/>
  <c r="DC11" i="25"/>
  <c r="DB11" i="25"/>
  <c r="DA11" i="25"/>
  <c r="CZ11" i="25"/>
  <c r="CY11" i="25"/>
  <c r="CX11" i="25"/>
  <c r="CW11" i="25"/>
  <c r="CV11" i="25"/>
  <c r="CS11" i="25"/>
  <c r="CR11" i="25"/>
  <c r="CQ11" i="25"/>
  <c r="CP11" i="25"/>
  <c r="CO11" i="25"/>
  <c r="CK11" i="25"/>
  <c r="CL11" i="25" s="1"/>
  <c r="CJ11" i="25"/>
  <c r="CH11" i="25"/>
  <c r="CI11" i="25" s="1"/>
  <c r="CG11" i="25"/>
  <c r="CF11" i="25"/>
  <c r="CD11" i="25"/>
  <c r="CC11" i="25"/>
  <c r="CB11" i="25"/>
  <c r="CA11" i="25"/>
  <c r="BZ11" i="25"/>
  <c r="BY11" i="25"/>
  <c r="BX11" i="25"/>
  <c r="BW11" i="25"/>
  <c r="BV11" i="25"/>
  <c r="BU11" i="25"/>
  <c r="BT11" i="25"/>
  <c r="BR11" i="25"/>
  <c r="BS11" i="25" s="1"/>
  <c r="BQ11" i="25"/>
  <c r="BP11" i="25"/>
  <c r="BO11" i="25"/>
  <c r="BN11" i="25"/>
  <c r="BM11" i="25"/>
  <c r="BL11" i="25"/>
  <c r="BK11" i="25"/>
  <c r="BJ11" i="25"/>
  <c r="BH11" i="25"/>
  <c r="BG11" i="25"/>
  <c r="BF11" i="25"/>
  <c r="BE11" i="25"/>
  <c r="BC11" i="25"/>
  <c r="CE11" i="25" s="1"/>
  <c r="BB11" i="25"/>
  <c r="BA11" i="25"/>
  <c r="AZ11" i="25"/>
  <c r="AX11" i="25"/>
  <c r="AY11" i="25" s="1"/>
  <c r="AV11" i="25"/>
  <c r="AP11" i="25"/>
  <c r="AL11" i="25"/>
  <c r="AK11" i="25"/>
  <c r="AJ11" i="25"/>
  <c r="AI11" i="25"/>
  <c r="AE11" i="25"/>
  <c r="K11" i="25"/>
  <c r="DD11" i="25" s="1"/>
  <c r="GQ10" i="25"/>
  <c r="GL10" i="25"/>
  <c r="GM10" i="25" s="1"/>
  <c r="GN10" i="25" s="1"/>
  <c r="GJ10" i="25"/>
  <c r="GI10" i="25"/>
  <c r="GE10" i="25"/>
  <c r="GF10" i="25" s="1"/>
  <c r="GC10" i="25"/>
  <c r="GB10" i="25"/>
  <c r="FZ10" i="25"/>
  <c r="FY10" i="25"/>
  <c r="FW10" i="25"/>
  <c r="FV10" i="25"/>
  <c r="FT10" i="25"/>
  <c r="FS10" i="25"/>
  <c r="FQ10" i="25"/>
  <c r="FP10" i="25"/>
  <c r="FJ10" i="25"/>
  <c r="FK10" i="25" s="1"/>
  <c r="FO10" i="25" s="1"/>
  <c r="FI10" i="25"/>
  <c r="EX10" i="25"/>
  <c r="EW10" i="25"/>
  <c r="EU10" i="25"/>
  <c r="EV10" i="25" s="1"/>
  <c r="ES10" i="25"/>
  <c r="ER10" i="25"/>
  <c r="EP10" i="25"/>
  <c r="EO10" i="25"/>
  <c r="EN10" i="25" s="1"/>
  <c r="EQ10" i="25" s="1"/>
  <c r="EM10" i="25"/>
  <c r="EL10" i="25" s="1"/>
  <c r="EK10" i="25"/>
  <c r="EJ10" i="25"/>
  <c r="EG10" i="25"/>
  <c r="EH10" i="25" s="1"/>
  <c r="EI10" i="25" s="1"/>
  <c r="EF10" i="25"/>
  <c r="AW10" i="25" s="1"/>
  <c r="EE10" i="25"/>
  <c r="ED10" i="25"/>
  <c r="EC10" i="25"/>
  <c r="EB10" i="25"/>
  <c r="EA10" i="25"/>
  <c r="DY10" i="25"/>
  <c r="DX10" i="25"/>
  <c r="DZ10" i="25" s="1"/>
  <c r="DW10" i="25"/>
  <c r="DV10" i="25"/>
  <c r="DU10" i="25"/>
  <c r="DT10" i="25"/>
  <c r="DO10" i="25"/>
  <c r="DN10" i="25"/>
  <c r="DP10" i="25" s="1"/>
  <c r="DK10" i="25"/>
  <c r="DL10" i="25" s="1"/>
  <c r="DM10" i="25" s="1"/>
  <c r="DI10" i="25"/>
  <c r="DH10" i="25" s="1"/>
  <c r="DG10" i="25"/>
  <c r="DC10" i="25"/>
  <c r="DB10" i="25"/>
  <c r="DA10" i="25"/>
  <c r="CZ10" i="25"/>
  <c r="CY10" i="25"/>
  <c r="CX10" i="25"/>
  <c r="CW10" i="25"/>
  <c r="CV10" i="25"/>
  <c r="CS10" i="25"/>
  <c r="CR10" i="25"/>
  <c r="CQ10" i="25"/>
  <c r="CP10" i="25"/>
  <c r="CO10" i="25"/>
  <c r="CK10" i="25"/>
  <c r="CL10" i="25" s="1"/>
  <c r="CJ10" i="25"/>
  <c r="CH10" i="25"/>
  <c r="CI10" i="25" s="1"/>
  <c r="CG10" i="25"/>
  <c r="CF10" i="25"/>
  <c r="CD10" i="25"/>
  <c r="CC10" i="25"/>
  <c r="CB10" i="25"/>
  <c r="CA10" i="25"/>
  <c r="BZ10" i="25"/>
  <c r="BY10" i="25"/>
  <c r="BX10" i="25"/>
  <c r="AV10" i="25" s="1"/>
  <c r="BW10" i="25"/>
  <c r="BV10" i="25"/>
  <c r="BU10" i="25"/>
  <c r="BT10" i="25"/>
  <c r="BR10" i="25"/>
  <c r="BQ10" i="25"/>
  <c r="BP10" i="25"/>
  <c r="BO10" i="25"/>
  <c r="BN10" i="25"/>
  <c r="BM10" i="25"/>
  <c r="DR10" i="25" s="1"/>
  <c r="BL10" i="25"/>
  <c r="BS10" i="25" s="1"/>
  <c r="BK10" i="25"/>
  <c r="BJ10" i="25"/>
  <c r="BH10" i="25"/>
  <c r="BG10" i="25"/>
  <c r="BF10" i="25"/>
  <c r="BC10" i="25"/>
  <c r="BE10" i="25" s="1"/>
  <c r="BB10" i="25"/>
  <c r="BA10" i="25"/>
  <c r="AZ10" i="25"/>
  <c r="AX10" i="25"/>
  <c r="AY10" i="25" s="1"/>
  <c r="AP10" i="25"/>
  <c r="AL10" i="25"/>
  <c r="AK10" i="25"/>
  <c r="AJ10" i="25" s="1"/>
  <c r="AI10" i="25"/>
  <c r="AE10" i="25"/>
  <c r="GQ9" i="25"/>
  <c r="GL9" i="25"/>
  <c r="GM9" i="25" s="1"/>
  <c r="GN9" i="25" s="1"/>
  <c r="GJ9" i="25"/>
  <c r="GI9" i="25"/>
  <c r="GE9" i="25"/>
  <c r="GF9" i="25" s="1"/>
  <c r="GC9" i="25"/>
  <c r="GB9" i="25"/>
  <c r="FZ9" i="25"/>
  <c r="FY9" i="25"/>
  <c r="FW9" i="25"/>
  <c r="FV9" i="25"/>
  <c r="FT9" i="25"/>
  <c r="FS9" i="25"/>
  <c r="FQ9" i="25"/>
  <c r="FP9" i="25"/>
  <c r="FJ9" i="25"/>
  <c r="FK9" i="25" s="1"/>
  <c r="FO9" i="25" s="1"/>
  <c r="FI9" i="25"/>
  <c r="FG9" i="25"/>
  <c r="FF9" i="25"/>
  <c r="FE9" i="25"/>
  <c r="FD9" i="25"/>
  <c r="FC9" i="25"/>
  <c r="FB9" i="25"/>
  <c r="EY9" i="25"/>
  <c r="EZ9" i="25" s="1"/>
  <c r="EX9" i="25"/>
  <c r="EW9" i="25"/>
  <c r="EU9" i="25"/>
  <c r="EV9" i="25" s="1"/>
  <c r="ES9" i="25"/>
  <c r="ER9" i="25"/>
  <c r="EP9" i="25"/>
  <c r="EO9" i="25"/>
  <c r="EN9" i="25" s="1"/>
  <c r="EQ9" i="25" s="1"/>
  <c r="EM9" i="25"/>
  <c r="EL9" i="25" s="1"/>
  <c r="EK9" i="25"/>
  <c r="EJ9" i="25"/>
  <c r="EI9" i="25"/>
  <c r="EG9" i="25"/>
  <c r="EH9" i="25" s="1"/>
  <c r="EF9" i="25"/>
  <c r="AW9" i="25" s="1"/>
  <c r="EE9" i="25"/>
  <c r="ED9" i="25"/>
  <c r="EC9" i="25"/>
  <c r="EB9" i="25"/>
  <c r="EA9" i="25"/>
  <c r="DZ9" i="25"/>
  <c r="DY9" i="25"/>
  <c r="DX9" i="25"/>
  <c r="DW9" i="25"/>
  <c r="DV9" i="25"/>
  <c r="DU9" i="25"/>
  <c r="DT9" i="25"/>
  <c r="DO9" i="25"/>
  <c r="DN9" i="25"/>
  <c r="DP9" i="25" s="1"/>
  <c r="DK9" i="25"/>
  <c r="DL9" i="25" s="1"/>
  <c r="DM9" i="25" s="1"/>
  <c r="DI9" i="25"/>
  <c r="DH9" i="25"/>
  <c r="DG9" i="25"/>
  <c r="DC9" i="25"/>
  <c r="DB9" i="25"/>
  <c r="DA9" i="25"/>
  <c r="CZ9" i="25"/>
  <c r="CY9" i="25"/>
  <c r="CX9" i="25"/>
  <c r="CW9" i="25"/>
  <c r="CV9" i="25"/>
  <c r="CT9" i="25"/>
  <c r="CU9" i="25" s="1"/>
  <c r="CS9" i="25"/>
  <c r="CR9" i="25"/>
  <c r="CQ9" i="25"/>
  <c r="CP9" i="25"/>
  <c r="CO9" i="25"/>
  <c r="CK9" i="25"/>
  <c r="CL9" i="25" s="1"/>
  <c r="CJ9" i="25"/>
  <c r="CI9" i="25"/>
  <c r="CH9" i="25"/>
  <c r="CG9" i="25"/>
  <c r="CF9" i="25"/>
  <c r="CE9" i="25"/>
  <c r="CD9" i="25"/>
  <c r="CC9" i="25"/>
  <c r="CB9" i="25"/>
  <c r="CA9" i="25"/>
  <c r="BZ9" i="25"/>
  <c r="BY9" i="25"/>
  <c r="BX9" i="25"/>
  <c r="BW9" i="25"/>
  <c r="BV9" i="25"/>
  <c r="BU9" i="25"/>
  <c r="BT9" i="25"/>
  <c r="BS9" i="25"/>
  <c r="BR9" i="25"/>
  <c r="BQ9" i="25"/>
  <c r="BP9" i="25"/>
  <c r="BO9" i="25"/>
  <c r="BN9" i="25"/>
  <c r="BM9" i="25"/>
  <c r="DR9" i="25" s="1"/>
  <c r="BL9" i="25"/>
  <c r="BK9" i="25"/>
  <c r="BJ9" i="25"/>
  <c r="BH9" i="25"/>
  <c r="BG9" i="25"/>
  <c r="BF9" i="25"/>
  <c r="BC9" i="25"/>
  <c r="BE9" i="25" s="1"/>
  <c r="BB9" i="25"/>
  <c r="BA9" i="25"/>
  <c r="AZ9" i="25"/>
  <c r="AX9" i="25"/>
  <c r="AY9" i="25" s="1"/>
  <c r="AV9" i="25"/>
  <c r="AP9" i="25"/>
  <c r="AL9" i="25"/>
  <c r="AK9" i="25"/>
  <c r="AJ9" i="25"/>
  <c r="AI9" i="25"/>
  <c r="AE9" i="25"/>
  <c r="K9" i="25"/>
  <c r="DD9" i="25" s="1"/>
  <c r="CF10" i="5"/>
  <c r="CF11" i="5"/>
  <c r="CF12" i="5"/>
  <c r="CF13" i="5"/>
  <c r="CF14" i="5"/>
  <c r="CF15" i="5"/>
  <c r="CF16" i="5"/>
  <c r="CF17" i="5"/>
  <c r="CF18" i="5"/>
  <c r="CF19" i="5"/>
  <c r="CF20" i="5"/>
  <c r="CF21" i="5"/>
  <c r="CF22" i="5"/>
  <c r="CF23" i="5"/>
  <c r="CF9" i="5"/>
  <c r="HY84" i="2"/>
  <c r="HY61" i="2"/>
  <c r="DI10" i="5"/>
  <c r="DH10" i="5" s="1"/>
  <c r="DI11" i="5"/>
  <c r="DI12" i="5"/>
  <c r="DI13" i="5"/>
  <c r="DI14" i="5"/>
  <c r="DI15" i="5"/>
  <c r="DI16" i="5"/>
  <c r="DI17" i="5"/>
  <c r="DI18" i="5"/>
  <c r="DI19" i="5"/>
  <c r="DI20" i="5"/>
  <c r="DI21" i="5"/>
  <c r="DI22" i="5"/>
  <c r="DI23" i="5"/>
  <c r="DH11" i="5"/>
  <c r="DH12" i="5"/>
  <c r="DH13" i="5"/>
  <c r="DH14" i="5"/>
  <c r="DH15" i="5"/>
  <c r="DH16" i="5"/>
  <c r="DH17" i="5"/>
  <c r="DH18" i="5"/>
  <c r="DH19" i="5"/>
  <c r="DH20" i="5"/>
  <c r="DH21" i="5"/>
  <c r="DH22" i="5"/>
  <c r="DH23" i="5"/>
  <c r="DI9" i="5"/>
  <c r="DH9" i="5" s="1"/>
  <c r="EM10" i="5"/>
  <c r="EM11" i="5"/>
  <c r="EM12" i="5"/>
  <c r="EM13" i="5"/>
  <c r="EM14" i="5"/>
  <c r="EM15" i="5"/>
  <c r="EM16" i="5"/>
  <c r="EM17" i="5"/>
  <c r="EM18" i="5"/>
  <c r="EM19" i="5"/>
  <c r="EM20" i="5"/>
  <c r="EM21" i="5"/>
  <c r="EM22" i="5"/>
  <c r="EM23" i="5"/>
  <c r="EO10" i="5"/>
  <c r="EN10" i="5" s="1"/>
  <c r="EO11" i="5"/>
  <c r="EN11" i="5" s="1"/>
  <c r="EO12" i="5"/>
  <c r="EN12" i="5" s="1"/>
  <c r="EO13" i="5"/>
  <c r="EN13" i="5" s="1"/>
  <c r="EO14" i="5"/>
  <c r="EN14" i="5" s="1"/>
  <c r="EO15" i="5"/>
  <c r="EN15" i="5" s="1"/>
  <c r="EO16" i="5"/>
  <c r="EN16" i="5" s="1"/>
  <c r="EO17" i="5"/>
  <c r="EN17" i="5" s="1"/>
  <c r="EO18" i="5"/>
  <c r="EN18" i="5" s="1"/>
  <c r="EO19" i="5"/>
  <c r="EN19" i="5" s="1"/>
  <c r="EO20" i="5"/>
  <c r="EN20" i="5" s="1"/>
  <c r="EO21" i="5"/>
  <c r="EN21" i="5" s="1"/>
  <c r="EO22" i="5"/>
  <c r="EN22" i="5" s="1"/>
  <c r="EO23" i="5"/>
  <c r="EN23" i="5" s="1"/>
  <c r="EO9" i="5"/>
  <c r="EN9" i="5" s="1"/>
  <c r="EM9" i="5"/>
  <c r="AP10" i="5"/>
  <c r="AP11" i="5"/>
  <c r="AP12" i="5"/>
  <c r="AP13" i="5"/>
  <c r="AP14" i="5"/>
  <c r="AP15" i="5"/>
  <c r="AP16" i="5"/>
  <c r="AP17" i="5"/>
  <c r="AP18" i="5"/>
  <c r="AP19" i="5"/>
  <c r="AP20" i="5"/>
  <c r="AP21" i="5"/>
  <c r="AP22" i="5"/>
  <c r="AP23" i="5"/>
  <c r="AP24" i="5"/>
  <c r="AP9" i="5"/>
  <c r="FK16" i="25" l="1"/>
  <c r="FO16" i="25" s="1"/>
  <c r="AV16" i="25"/>
  <c r="CT12" i="25"/>
  <c r="FA12" i="25" s="1"/>
  <c r="CT17" i="25"/>
  <c r="FA17" i="25" s="1"/>
  <c r="FK11" i="25"/>
  <c r="FO11" i="25" s="1"/>
  <c r="FK12" i="25"/>
  <c r="FO12" i="25" s="1"/>
  <c r="FK13" i="25"/>
  <c r="FO13" i="25" s="1"/>
  <c r="FK14" i="25"/>
  <c r="FO14" i="25" s="1"/>
  <c r="GD22" i="25"/>
  <c r="FK23" i="25"/>
  <c r="FO23" i="25" s="1"/>
  <c r="FK21" i="25"/>
  <c r="FO21" i="25" s="1"/>
  <c r="FK22" i="25"/>
  <c r="FO22" i="25" s="1"/>
  <c r="BD23" i="25"/>
  <c r="BS12" i="25"/>
  <c r="FH13" i="25"/>
  <c r="DR20" i="25"/>
  <c r="BE23" i="25"/>
  <c r="EY10" i="25"/>
  <c r="DR11" i="25"/>
  <c r="CT11" i="25"/>
  <c r="FA11" i="25" s="1"/>
  <c r="DR12" i="25"/>
  <c r="FH17" i="25"/>
  <c r="BI20" i="25"/>
  <c r="BS21" i="25"/>
  <c r="CT21" i="25"/>
  <c r="FA21" i="25" s="1"/>
  <c r="DR21" i="25"/>
  <c r="DS21" i="25" s="1"/>
  <c r="FH22" i="25"/>
  <c r="DR13" i="25"/>
  <c r="DS13" i="25" s="1"/>
  <c r="CT13" i="25"/>
  <c r="FA13" i="25" s="1"/>
  <c r="BE19" i="25"/>
  <c r="BS14" i="25"/>
  <c r="BS16" i="25"/>
  <c r="BS17" i="25"/>
  <c r="BS22" i="25"/>
  <c r="DS12" i="25"/>
  <c r="DR14" i="25"/>
  <c r="BS15" i="25"/>
  <c r="CT15" i="25"/>
  <c r="FA15" i="25" s="1"/>
  <c r="DR16" i="25"/>
  <c r="DR17" i="25"/>
  <c r="DS17" i="25" s="1"/>
  <c r="BS18" i="25"/>
  <c r="DR22" i="25"/>
  <c r="DS22" i="25" s="1"/>
  <c r="GA9" i="25"/>
  <c r="GH9" i="25" s="1"/>
  <c r="BI14" i="25"/>
  <c r="DR15" i="25"/>
  <c r="DS15" i="25" s="1"/>
  <c r="BI17" i="25"/>
  <c r="DR18" i="25"/>
  <c r="BD21" i="25"/>
  <c r="BI21" i="25" s="1"/>
  <c r="BS23" i="25"/>
  <c r="FH11" i="25"/>
  <c r="BI15" i="25"/>
  <c r="BI18" i="25"/>
  <c r="DR23" i="25"/>
  <c r="BS13" i="25"/>
  <c r="BI23" i="25"/>
  <c r="DS9" i="25"/>
  <c r="BD9" i="25"/>
  <c r="BI9" i="25" s="1"/>
  <c r="BD14" i="25"/>
  <c r="BD17" i="25"/>
  <c r="CT19" i="25"/>
  <c r="FA19" i="25" s="1"/>
  <c r="BD22" i="25"/>
  <c r="BI22" i="25" s="1"/>
  <c r="ET14" i="25"/>
  <c r="FX22" i="25"/>
  <c r="FR13" i="25"/>
  <c r="FX19" i="25"/>
  <c r="DE9" i="25"/>
  <c r="GA19" i="25"/>
  <c r="GH19" i="25" s="1"/>
  <c r="FR23" i="25"/>
  <c r="FR14" i="25"/>
  <c r="FR20" i="25"/>
  <c r="GA18" i="25"/>
  <c r="GH18" i="25" s="1"/>
  <c r="ET18" i="25"/>
  <c r="ET12" i="25"/>
  <c r="FX11" i="25"/>
  <c r="ET20" i="25"/>
  <c r="GA21" i="25"/>
  <c r="GH21" i="25" s="1"/>
  <c r="FU22" i="25"/>
  <c r="GG22" i="25" s="1"/>
  <c r="FU12" i="25"/>
  <c r="GG12" i="25" s="1"/>
  <c r="FX15" i="25"/>
  <c r="FR17" i="25"/>
  <c r="GA22" i="25"/>
  <c r="GH22" i="25" s="1"/>
  <c r="GA23" i="25"/>
  <c r="GH23" i="25" s="1"/>
  <c r="GA15" i="25"/>
  <c r="GH15" i="25" s="1"/>
  <c r="GA16" i="25"/>
  <c r="ET19" i="25"/>
  <c r="ET22" i="25"/>
  <c r="ET11" i="25"/>
  <c r="ET15" i="25"/>
  <c r="FX20" i="25"/>
  <c r="GD16" i="25"/>
  <c r="GA17" i="25"/>
  <c r="GH17" i="25" s="1"/>
  <c r="FX18" i="25"/>
  <c r="FX14" i="25"/>
  <c r="FR19" i="25"/>
  <c r="FX21" i="25"/>
  <c r="ET10" i="25"/>
  <c r="ET13" i="25"/>
  <c r="FX16" i="25"/>
  <c r="GJ12" i="25"/>
  <c r="FR11" i="25"/>
  <c r="GD15" i="25"/>
  <c r="GD19" i="25"/>
  <c r="FR22" i="25"/>
  <c r="GD23" i="25"/>
  <c r="GA14" i="25"/>
  <c r="GH14" i="25" s="1"/>
  <c r="ET16" i="25"/>
  <c r="ET21" i="25"/>
  <c r="GD21" i="25"/>
  <c r="FX9" i="25"/>
  <c r="GA12" i="25"/>
  <c r="GH12" i="25" s="1"/>
  <c r="FR15" i="25"/>
  <c r="ET23" i="25"/>
  <c r="DS11" i="25"/>
  <c r="GA11" i="25"/>
  <c r="GH11" i="25" s="1"/>
  <c r="GD14" i="25"/>
  <c r="GD18" i="25"/>
  <c r="FR21" i="25"/>
  <c r="ET9" i="25"/>
  <c r="FX13" i="25"/>
  <c r="GA20" i="25"/>
  <c r="GH20" i="25" s="1"/>
  <c r="GD9" i="25"/>
  <c r="GD11" i="25"/>
  <c r="GA13" i="25"/>
  <c r="GH13" i="25" s="1"/>
  <c r="ET17" i="25"/>
  <c r="FR18" i="25"/>
  <c r="GD20" i="25"/>
  <c r="FU21" i="25"/>
  <c r="GG21" i="25" s="1"/>
  <c r="AD3" i="25"/>
  <c r="BD16" i="25"/>
  <c r="BI16" i="25" s="1"/>
  <c r="BE16" i="25"/>
  <c r="FU11" i="25"/>
  <c r="GG11" i="25" s="1"/>
  <c r="FH12" i="25"/>
  <c r="FU15" i="25"/>
  <c r="GG15" i="25" s="1"/>
  <c r="FU19" i="25"/>
  <c r="GG19" i="25" s="1"/>
  <c r="FH23" i="25"/>
  <c r="FX23" i="25"/>
  <c r="GD13" i="25"/>
  <c r="FH15" i="25"/>
  <c r="GD17" i="25"/>
  <c r="FH19" i="25"/>
  <c r="FU14" i="25"/>
  <c r="GG14" i="25" s="1"/>
  <c r="FU18" i="25"/>
  <c r="GG18" i="25" s="1"/>
  <c r="FH14" i="25"/>
  <c r="FH18" i="25"/>
  <c r="GD12" i="25"/>
  <c r="FU13" i="25"/>
  <c r="GG13" i="25" s="1"/>
  <c r="FU17" i="25"/>
  <c r="GG17" i="25" s="1"/>
  <c r="FH21" i="25"/>
  <c r="FR12" i="25"/>
  <c r="FU16" i="25"/>
  <c r="GG16" i="25" s="1"/>
  <c r="FU20" i="25"/>
  <c r="GG20" i="25" s="1"/>
  <c r="FH20" i="25"/>
  <c r="FU23" i="25"/>
  <c r="GG23" i="25" s="1"/>
  <c r="FR10" i="25"/>
  <c r="DM24" i="25"/>
  <c r="Z7" i="25" s="1"/>
  <c r="FU10" i="25"/>
  <c r="GG10" i="25" s="1"/>
  <c r="FX10" i="25"/>
  <c r="GA10" i="25"/>
  <c r="GD10" i="25"/>
  <c r="BD10" i="25"/>
  <c r="BI10" i="25" s="1"/>
  <c r="EZ10" i="25"/>
  <c r="CO13" i="25"/>
  <c r="N6" i="25" s="1"/>
  <c r="CE10" i="25"/>
  <c r="FX12" i="25"/>
  <c r="DS10" i="25"/>
  <c r="DS16" i="25"/>
  <c r="DS20" i="25"/>
  <c r="CU22" i="25"/>
  <c r="CT23" i="25"/>
  <c r="FA23" i="25" s="1"/>
  <c r="AI24" i="25"/>
  <c r="AJ24" i="25"/>
  <c r="FR9" i="25"/>
  <c r="CT14" i="25"/>
  <c r="FA14" i="25" s="1"/>
  <c r="CT18" i="25"/>
  <c r="FA18" i="25" s="1"/>
  <c r="DS19" i="25"/>
  <c r="CT22" i="25"/>
  <c r="FA22" i="25" s="1"/>
  <c r="DS23" i="25"/>
  <c r="FU9" i="25"/>
  <c r="GG9" i="25" s="1"/>
  <c r="FA9" i="25"/>
  <c r="DS14" i="25"/>
  <c r="DS18" i="25"/>
  <c r="FH9" i="25"/>
  <c r="CU11" i="25"/>
  <c r="EZ11" i="25"/>
  <c r="EZ12" i="25"/>
  <c r="CU12" i="25"/>
  <c r="CT10" i="25"/>
  <c r="FA10" i="25" s="1"/>
  <c r="BI13" i="25"/>
  <c r="EZ23" i="25"/>
  <c r="CT16" i="25"/>
  <c r="FA16" i="25" s="1"/>
  <c r="CT20" i="25"/>
  <c r="FA20" i="25" s="1"/>
  <c r="CU13" i="25"/>
  <c r="CU17" i="25"/>
  <c r="CU21" i="25"/>
  <c r="BD11" i="25"/>
  <c r="BI11" i="25" s="1"/>
  <c r="BD12" i="25"/>
  <c r="BI12" i="25" s="1"/>
  <c r="BE12" i="25"/>
  <c r="DN10" i="5"/>
  <c r="DN11" i="5"/>
  <c r="DN12" i="5"/>
  <c r="DN13" i="5"/>
  <c r="DN14" i="5"/>
  <c r="DN15" i="5"/>
  <c r="DN16" i="5"/>
  <c r="DN17" i="5"/>
  <c r="DN18" i="5"/>
  <c r="DN19" i="5"/>
  <c r="DN20" i="5"/>
  <c r="DN21" i="5"/>
  <c r="DN22" i="5"/>
  <c r="DN23" i="5"/>
  <c r="DN9" i="5"/>
  <c r="FG121" i="2"/>
  <c r="HY85" i="2"/>
  <c r="CU15" i="25" l="1"/>
  <c r="CU18" i="25"/>
  <c r="CU19" i="25"/>
  <c r="CU23" i="25"/>
  <c r="CU14" i="25"/>
  <c r="CU20" i="25"/>
  <c r="GH16" i="25"/>
  <c r="AK24" i="25"/>
  <c r="GH10" i="25"/>
  <c r="CU16" i="25"/>
  <c r="CU10" i="25"/>
  <c r="HY71" i="2"/>
  <c r="BF45" i="5"/>
  <c r="BF46" i="5"/>
  <c r="BF47" i="5"/>
  <c r="BF48" i="5"/>
  <c r="BF49" i="5"/>
  <c r="BF50" i="5"/>
  <c r="BF51" i="5"/>
  <c r="BF52" i="5"/>
  <c r="AO44" i="5"/>
  <c r="AO45" i="5"/>
  <c r="AO46" i="5"/>
  <c r="AO47" i="5"/>
  <c r="AO48" i="5"/>
  <c r="AO49" i="5"/>
  <c r="AO50" i="5"/>
  <c r="AO51" i="5"/>
  <c r="AO52" i="5"/>
  <c r="AO43" i="5"/>
  <c r="HY74" i="2"/>
  <c r="HY81" i="2"/>
  <c r="HY58" i="2"/>
  <c r="BB44" i="5"/>
  <c r="BB45" i="5"/>
  <c r="BB46" i="5"/>
  <c r="BB47" i="5"/>
  <c r="BB48" i="5"/>
  <c r="BB49" i="5"/>
  <c r="BB50" i="5"/>
  <c r="BB51" i="5"/>
  <c r="BB52" i="5"/>
  <c r="BB43" i="5"/>
  <c r="FB16" i="25" l="1"/>
  <c r="FG16" i="25"/>
  <c r="FC16" i="25"/>
  <c r="FF16" i="25"/>
  <c r="FE16" i="25"/>
  <c r="FD16" i="25"/>
  <c r="FG10" i="25"/>
  <c r="FF10" i="25"/>
  <c r="FE10" i="25"/>
  <c r="FD10" i="25"/>
  <c r="FC10" i="25"/>
  <c r="FB10" i="25"/>
  <c r="FH10" i="25" s="1"/>
  <c r="K10" i="25" s="1"/>
  <c r="DD10" i="25" s="1"/>
  <c r="AM44" i="5"/>
  <c r="AM45" i="5"/>
  <c r="AM46" i="5"/>
  <c r="AM47" i="5"/>
  <c r="AM48" i="5"/>
  <c r="AM49" i="5"/>
  <c r="AM50" i="5"/>
  <c r="AM51" i="5"/>
  <c r="AM52" i="5"/>
  <c r="AM43" i="5"/>
  <c r="GQ10" i="5"/>
  <c r="GQ11" i="5"/>
  <c r="GQ12" i="5"/>
  <c r="GQ13" i="5"/>
  <c r="GQ14" i="5"/>
  <c r="GQ15" i="5"/>
  <c r="GQ16" i="5"/>
  <c r="GQ17" i="5"/>
  <c r="GQ18" i="5"/>
  <c r="GQ19" i="5"/>
  <c r="GQ20" i="5"/>
  <c r="GQ21" i="5"/>
  <c r="GQ22" i="5"/>
  <c r="GQ23" i="5"/>
  <c r="GQ9" i="5"/>
  <c r="EP10" i="5"/>
  <c r="EQ10" i="5" s="1"/>
  <c r="EP11" i="5"/>
  <c r="EQ11" i="5" s="1"/>
  <c r="EP12" i="5"/>
  <c r="EP13" i="5"/>
  <c r="EP14" i="5"/>
  <c r="EP15" i="5"/>
  <c r="EP16" i="5"/>
  <c r="EP17" i="5"/>
  <c r="EP18" i="5"/>
  <c r="EP19" i="5"/>
  <c r="EP20" i="5"/>
  <c r="EP21" i="5"/>
  <c r="EP22" i="5"/>
  <c r="EP23" i="5"/>
  <c r="EP9" i="5"/>
  <c r="EK10" i="5"/>
  <c r="EL10" i="5" s="1"/>
  <c r="EK11" i="5"/>
  <c r="EL11" i="5" s="1"/>
  <c r="EK12" i="5"/>
  <c r="EK13" i="5"/>
  <c r="EK14" i="5"/>
  <c r="EK15" i="5"/>
  <c r="EK16" i="5"/>
  <c r="EK17" i="5"/>
  <c r="EK18" i="5"/>
  <c r="EK19" i="5"/>
  <c r="EK20" i="5"/>
  <c r="EK21" i="5"/>
  <c r="EK22" i="5"/>
  <c r="EK23" i="5"/>
  <c r="EK9" i="5"/>
  <c r="FH16" i="25" l="1"/>
  <c r="K16" i="25" s="1"/>
  <c r="DD16" i="25" s="1"/>
  <c r="DF9" i="25" s="1"/>
  <c r="DO10" i="5"/>
  <c r="DP10" i="5" s="1"/>
  <c r="DO11" i="5"/>
  <c r="DP11" i="5" s="1"/>
  <c r="DO12" i="5"/>
  <c r="DO13" i="5"/>
  <c r="DO14" i="5"/>
  <c r="DO15" i="5"/>
  <c r="DO16" i="5"/>
  <c r="DO17" i="5"/>
  <c r="DO18" i="5"/>
  <c r="DO19" i="5"/>
  <c r="DO20" i="5"/>
  <c r="DO21" i="5"/>
  <c r="DO22" i="5"/>
  <c r="DO23" i="5"/>
  <c r="DO9" i="5"/>
  <c r="AL10" i="5"/>
  <c r="AL11" i="5"/>
  <c r="AL12" i="5"/>
  <c r="AL13" i="5"/>
  <c r="AL14" i="5"/>
  <c r="AL15" i="5"/>
  <c r="AL16" i="5"/>
  <c r="AL17" i="5"/>
  <c r="AL18" i="5"/>
  <c r="AL19" i="5"/>
  <c r="AL20" i="5"/>
  <c r="AL21" i="5"/>
  <c r="AL22" i="5"/>
  <c r="AL23" i="5"/>
  <c r="AL24" i="5"/>
  <c r="AL9" i="5"/>
  <c r="DZ14" i="5"/>
  <c r="DZ15" i="5"/>
  <c r="DZ16" i="5"/>
  <c r="DZ17" i="5"/>
  <c r="DZ18" i="5"/>
  <c r="DZ19" i="5"/>
  <c r="DZ20" i="5"/>
  <c r="DZ21" i="5"/>
  <c r="DZ22" i="5"/>
  <c r="DZ23" i="5"/>
  <c r="DY10" i="5"/>
  <c r="DY11" i="5"/>
  <c r="DY12" i="5"/>
  <c r="DZ12" i="5" s="1"/>
  <c r="DY13" i="5"/>
  <c r="DY14" i="5"/>
  <c r="DY15" i="5"/>
  <c r="DY16" i="5"/>
  <c r="DY17" i="5"/>
  <c r="DY18" i="5"/>
  <c r="DY19" i="5"/>
  <c r="DY20" i="5"/>
  <c r="DY21" i="5"/>
  <c r="DY22" i="5"/>
  <c r="DY23" i="5"/>
  <c r="DY9" i="5"/>
  <c r="DA13" i="5"/>
  <c r="DA14" i="5"/>
  <c r="DA15" i="5"/>
  <c r="DA16" i="5"/>
  <c r="DA17" i="5"/>
  <c r="DA18" i="5"/>
  <c r="DA19" i="5"/>
  <c r="DA20" i="5"/>
  <c r="DA21" i="5"/>
  <c r="DA22" i="5"/>
  <c r="DA23" i="5"/>
  <c r="GJ11" i="5"/>
  <c r="GL12" i="5" l="1"/>
  <c r="GM12" i="5" s="1"/>
  <c r="GN12" i="5" s="1"/>
  <c r="GL13" i="5"/>
  <c r="GM13" i="5" s="1"/>
  <c r="GN13" i="5" s="1"/>
  <c r="GL14" i="5"/>
  <c r="GM14" i="5" s="1"/>
  <c r="GN14" i="5" s="1"/>
  <c r="GL15" i="5"/>
  <c r="GM15" i="5" s="1"/>
  <c r="GN15" i="5" s="1"/>
  <c r="GL16" i="5"/>
  <c r="GM16" i="5" s="1"/>
  <c r="GN16" i="5" s="1"/>
  <c r="GL17" i="5"/>
  <c r="GM17" i="5" s="1"/>
  <c r="GN17" i="5" s="1"/>
  <c r="GL18" i="5"/>
  <c r="GM18" i="5" s="1"/>
  <c r="GN18" i="5" s="1"/>
  <c r="GL19" i="5"/>
  <c r="GM19" i="5" s="1"/>
  <c r="GN19" i="5" s="1"/>
  <c r="GL20" i="5"/>
  <c r="GM20" i="5" s="1"/>
  <c r="GN20" i="5" s="1"/>
  <c r="GL21" i="5"/>
  <c r="GM21" i="5" s="1"/>
  <c r="GN21" i="5" s="1"/>
  <c r="GL22" i="5"/>
  <c r="GM22" i="5" s="1"/>
  <c r="GN22" i="5" s="1"/>
  <c r="GL23" i="5"/>
  <c r="GM23" i="5" s="1"/>
  <c r="GN23" i="5" s="1"/>
  <c r="EU12" i="5" l="1"/>
  <c r="EV12" i="5" s="1"/>
  <c r="EU13" i="5"/>
  <c r="EV13" i="5" s="1"/>
  <c r="EU14" i="5"/>
  <c r="EV14" i="5" s="1"/>
  <c r="EU15" i="5"/>
  <c r="EV15" i="5" s="1"/>
  <c r="EU16" i="5"/>
  <c r="EV16" i="5" s="1"/>
  <c r="EU17" i="5"/>
  <c r="EV17" i="5" s="1"/>
  <c r="EU18" i="5"/>
  <c r="EV18" i="5" s="1"/>
  <c r="EU19" i="5"/>
  <c r="EV19" i="5" s="1"/>
  <c r="EU20" i="5"/>
  <c r="EV20" i="5" s="1"/>
  <c r="EU21" i="5"/>
  <c r="EV21" i="5" s="1"/>
  <c r="EU22" i="5"/>
  <c r="EV22" i="5" s="1"/>
  <c r="EU23" i="5"/>
  <c r="EV23" i="5" s="1"/>
  <c r="BE115" i="2"/>
  <c r="BE114" i="2"/>
  <c r="BE113" i="2"/>
  <c r="BE112" i="2"/>
  <c r="CV12" i="5"/>
  <c r="CW12" i="5"/>
  <c r="CV13" i="5"/>
  <c r="CW13" i="5"/>
  <c r="CV14" i="5"/>
  <c r="CW14" i="5"/>
  <c r="CV15" i="5"/>
  <c r="CW15" i="5"/>
  <c r="CV16" i="5"/>
  <c r="CW16" i="5"/>
  <c r="CV17" i="5"/>
  <c r="CW17" i="5"/>
  <c r="CV18" i="5"/>
  <c r="CW18" i="5"/>
  <c r="CV19" i="5"/>
  <c r="CW19" i="5"/>
  <c r="CV20" i="5"/>
  <c r="CW20" i="5"/>
  <c r="CV21" i="5"/>
  <c r="CW21" i="5"/>
  <c r="CV22" i="5"/>
  <c r="CW22" i="5"/>
  <c r="CV23" i="5"/>
  <c r="CW23" i="5"/>
  <c r="BE110" i="2"/>
  <c r="BE109" i="2"/>
  <c r="BE108" i="2"/>
  <c r="BE107" i="2"/>
  <c r="BE111" i="2"/>
  <c r="BE82" i="2"/>
  <c r="BE83" i="2"/>
  <c r="BE84" i="2"/>
  <c r="BE85" i="2"/>
  <c r="BE86" i="2"/>
  <c r="BE87" i="2"/>
  <c r="BE88" i="2"/>
  <c r="BE89" i="2"/>
  <c r="BE90" i="2"/>
  <c r="BE91" i="2"/>
  <c r="BE92" i="2"/>
  <c r="BE93" i="2"/>
  <c r="BE94" i="2"/>
  <c r="BE95" i="2"/>
  <c r="BE96" i="2"/>
  <c r="GL11" i="5" s="1"/>
  <c r="GM11" i="5" s="1"/>
  <c r="BE97" i="2"/>
  <c r="GL10" i="5" s="1"/>
  <c r="GM10" i="5" s="1"/>
  <c r="BE98" i="2"/>
  <c r="BE99" i="2"/>
  <c r="BE100" i="2"/>
  <c r="BE101" i="2"/>
  <c r="BE102" i="2"/>
  <c r="BE103" i="2"/>
  <c r="BE104" i="2"/>
  <c r="BE105" i="2"/>
  <c r="BE106" i="2"/>
  <c r="BE81" i="2"/>
  <c r="AI10" i="5"/>
  <c r="AK10" i="5"/>
  <c r="AJ10" i="5" s="1"/>
  <c r="AI11" i="5"/>
  <c r="AK11" i="5"/>
  <c r="AJ11" i="5" s="1"/>
  <c r="AI12" i="5"/>
  <c r="AJ12" i="5"/>
  <c r="AK12" i="5"/>
  <c r="AI13" i="5"/>
  <c r="AJ13" i="5"/>
  <c r="AK13" i="5"/>
  <c r="AI14" i="5"/>
  <c r="AJ14" i="5"/>
  <c r="AK14" i="5"/>
  <c r="AI15" i="5"/>
  <c r="AJ15" i="5"/>
  <c r="AK15" i="5"/>
  <c r="AI16" i="5"/>
  <c r="AJ16" i="5"/>
  <c r="AK16" i="5"/>
  <c r="AI17" i="5"/>
  <c r="AJ17" i="5"/>
  <c r="AK17" i="5"/>
  <c r="AI18" i="5"/>
  <c r="AJ18" i="5"/>
  <c r="AK18" i="5"/>
  <c r="AI19" i="5"/>
  <c r="AJ19" i="5"/>
  <c r="AK19" i="5"/>
  <c r="AI20" i="5"/>
  <c r="AJ20" i="5"/>
  <c r="AK20" i="5"/>
  <c r="AI21" i="5"/>
  <c r="AJ21" i="5"/>
  <c r="AK21" i="5"/>
  <c r="AI22" i="5"/>
  <c r="AJ22" i="5"/>
  <c r="AK22" i="5"/>
  <c r="AI23" i="5"/>
  <c r="AJ23" i="5"/>
  <c r="AK23" i="5"/>
  <c r="AK9" i="5"/>
  <c r="AJ9" i="5" s="1"/>
  <c r="AI9" i="5"/>
  <c r="CV11" i="5" l="1"/>
  <c r="CW11" i="5" s="1"/>
  <c r="CV10" i="5"/>
  <c r="CW10" i="5" s="1"/>
  <c r="EU11" i="5"/>
  <c r="EU10" i="5"/>
  <c r="CV9" i="5"/>
  <c r="CW9" i="5" s="1"/>
  <c r="GL9" i="5"/>
  <c r="GM9" i="5" s="1"/>
  <c r="EU9" i="5"/>
  <c r="AI24" i="5"/>
  <c r="AJ24" i="5"/>
  <c r="AK24" i="5" l="1"/>
  <c r="AD5" i="5" s="1"/>
  <c r="AD5" i="25" s="1"/>
  <c r="BX10" i="5" l="1"/>
  <c r="BX11" i="5"/>
  <c r="BX12" i="5"/>
  <c r="BX13" i="5"/>
  <c r="BX14" i="5"/>
  <c r="BX15" i="5"/>
  <c r="BX16" i="5"/>
  <c r="BX17" i="5"/>
  <c r="BX18" i="5"/>
  <c r="BX19" i="5"/>
  <c r="BX20" i="5"/>
  <c r="BX21" i="5"/>
  <c r="BX22" i="5"/>
  <c r="BX23" i="5"/>
  <c r="BU10" i="5"/>
  <c r="BU11" i="5"/>
  <c r="BU12" i="5"/>
  <c r="BU13" i="5"/>
  <c r="BU14" i="5"/>
  <c r="BU15" i="5"/>
  <c r="BU16" i="5"/>
  <c r="BU17" i="5"/>
  <c r="BU18" i="5"/>
  <c r="BU19" i="5"/>
  <c r="BU20" i="5"/>
  <c r="BU21" i="5"/>
  <c r="BU22" i="5"/>
  <c r="BU23" i="5"/>
  <c r="BX9" i="5"/>
  <c r="BU9" i="5" l="1"/>
  <c r="FG109" i="2" l="1"/>
  <c r="FG108" i="2"/>
  <c r="FG101" i="2"/>
  <c r="FG137" i="2"/>
  <c r="FG136" i="2"/>
  <c r="FG135" i="2"/>
  <c r="FG134" i="2"/>
  <c r="FG133" i="2"/>
  <c r="FG132" i="2"/>
  <c r="FG130" i="2"/>
  <c r="FG131" i="2"/>
  <c r="FG129" i="2"/>
  <c r="FG128" i="2"/>
  <c r="FG127" i="2"/>
  <c r="FG126" i="2"/>
  <c r="FG125" i="2"/>
  <c r="FG124" i="2"/>
  <c r="FG123" i="2"/>
  <c r="FG122" i="2"/>
  <c r="FG120" i="2"/>
  <c r="FG118" i="2"/>
  <c r="FG119" i="2"/>
  <c r="FG117" i="2"/>
  <c r="FG116" i="2"/>
  <c r="FG115" i="2"/>
  <c r="FG113" i="2"/>
  <c r="FG114" i="2"/>
  <c r="FG111" i="2"/>
  <c r="FG110" i="2"/>
  <c r="FG112" i="2"/>
  <c r="FG107" i="2"/>
  <c r="FG106" i="2"/>
  <c r="FG105" i="2"/>
  <c r="FG104" i="2"/>
  <c r="FG103" i="2"/>
  <c r="FG100" i="2"/>
  <c r="FG102" i="2"/>
  <c r="FG99" i="2"/>
  <c r="FG98" i="2"/>
  <c r="FG97" i="2"/>
  <c r="FG96" i="2"/>
  <c r="FG95" i="2"/>
  <c r="FG94" i="2"/>
  <c r="FG93" i="2"/>
  <c r="FG92" i="2"/>
  <c r="FG90" i="2"/>
  <c r="FG91" i="2"/>
  <c r="FG89" i="2"/>
  <c r="FG88" i="2"/>
  <c r="FG87" i="2"/>
  <c r="FG86" i="2"/>
  <c r="FG85" i="2"/>
  <c r="FG84" i="2"/>
  <c r="FG83" i="2"/>
  <c r="FG82" i="2"/>
  <c r="FG80" i="2"/>
  <c r="FG81" i="2"/>
  <c r="FG78" i="2"/>
  <c r="FG79" i="2"/>
  <c r="FG76" i="2"/>
  <c r="FG77" i="2"/>
  <c r="FC14" i="5" l="1"/>
  <c r="FC15" i="5"/>
  <c r="FC16" i="5"/>
  <c r="FC17" i="5"/>
  <c r="FC18" i="5"/>
  <c r="FC19" i="5"/>
  <c r="FC20" i="5"/>
  <c r="FC21" i="5"/>
  <c r="FC22" i="5"/>
  <c r="FC23" i="5"/>
  <c r="FL21" i="2" l="1"/>
  <c r="FL22" i="2"/>
  <c r="FL25" i="2"/>
  <c r="AE11" i="5" l="1"/>
  <c r="AE12" i="5"/>
  <c r="GJ9" i="5"/>
  <c r="MF28" i="2"/>
  <c r="D22" i="18"/>
  <c r="CC10" i="5"/>
  <c r="CC11" i="5"/>
  <c r="CC12" i="5"/>
  <c r="CC13" i="5"/>
  <c r="CC14" i="5"/>
  <c r="CC15" i="5"/>
  <c r="CC16" i="5"/>
  <c r="CC17" i="5"/>
  <c r="CC18" i="5"/>
  <c r="CC19" i="5"/>
  <c r="CC20" i="5"/>
  <c r="CC21" i="5"/>
  <c r="CC22" i="5"/>
  <c r="CC23" i="5"/>
  <c r="CC9" i="5"/>
  <c r="GE10" i="5"/>
  <c r="GE11" i="5"/>
  <c r="GE12" i="5"/>
  <c r="GE13" i="5"/>
  <c r="GF13" i="5" s="1"/>
  <c r="GE14" i="5"/>
  <c r="GF14" i="5" s="1"/>
  <c r="GE15" i="5"/>
  <c r="GF15" i="5" s="1"/>
  <c r="GE16" i="5"/>
  <c r="GF16" i="5" s="1"/>
  <c r="GE17" i="5"/>
  <c r="GF17" i="5" s="1"/>
  <c r="GE18" i="5"/>
  <c r="GF18" i="5" s="1"/>
  <c r="GE19" i="5"/>
  <c r="GF19" i="5" s="1"/>
  <c r="GE20" i="5"/>
  <c r="GF20" i="5" s="1"/>
  <c r="GE21" i="5"/>
  <c r="GF21" i="5" s="1"/>
  <c r="GE22" i="5"/>
  <c r="GF22" i="5" s="1"/>
  <c r="GE23" i="5"/>
  <c r="GF23" i="5" s="1"/>
  <c r="GE9" i="5"/>
  <c r="AAF16" i="2"/>
  <c r="AAF5" i="2"/>
  <c r="AAH7" i="2"/>
  <c r="AAG7" i="2"/>
  <c r="AAH18" i="2"/>
  <c r="AAG18" i="2"/>
  <c r="ER15" i="5"/>
  <c r="ER16" i="5"/>
  <c r="ER17" i="5"/>
  <c r="ER18" i="5"/>
  <c r="ER19" i="5"/>
  <c r="ER20" i="5"/>
  <c r="ER21" i="5"/>
  <c r="ER22" i="5"/>
  <c r="ER23" i="5"/>
  <c r="ER10" i="5"/>
  <c r="ER11" i="5"/>
  <c r="ER12" i="5"/>
  <c r="ER13" i="5"/>
  <c r="ER14" i="5"/>
  <c r="ER9" i="5"/>
  <c r="ES10" i="5"/>
  <c r="ES11" i="5"/>
  <c r="ES12" i="5"/>
  <c r="ES13" i="5"/>
  <c r="ES14" i="5"/>
  <c r="ES15" i="5"/>
  <c r="ES16" i="5"/>
  <c r="ES17" i="5"/>
  <c r="ES18" i="5"/>
  <c r="ES19" i="5"/>
  <c r="ES20" i="5"/>
  <c r="ES21" i="5"/>
  <c r="ES22" i="5"/>
  <c r="ES23" i="5"/>
  <c r="ES9" i="5"/>
  <c r="CY12" i="2"/>
  <c r="CZ12" i="2"/>
  <c r="DA12" i="2"/>
  <c r="CX12" i="2"/>
  <c r="DA13" i="2"/>
  <c r="CZ13" i="2"/>
  <c r="CY13" i="2"/>
  <c r="CX13" i="2"/>
  <c r="CX14" i="2"/>
  <c r="CY14" i="2"/>
  <c r="CZ14" i="2"/>
  <c r="DA14" i="2"/>
  <c r="DA11" i="2"/>
  <c r="CZ11" i="2"/>
  <c r="CY11" i="2"/>
  <c r="CX11" i="2"/>
  <c r="DA10" i="2"/>
  <c r="CZ10" i="2"/>
  <c r="CY10" i="2"/>
  <c r="CX10" i="2"/>
  <c r="HY59" i="2"/>
  <c r="HY57" i="2"/>
  <c r="HY77" i="2"/>
  <c r="HY88" i="2"/>
  <c r="HY87" i="2"/>
  <c r="HY89" i="2"/>
  <c r="HY86" i="2"/>
  <c r="HY83" i="2"/>
  <c r="BF44" i="5" s="1"/>
  <c r="HY82" i="2"/>
  <c r="HY80" i="2"/>
  <c r="HY79" i="2"/>
  <c r="HY78" i="2"/>
  <c r="HY76" i="2"/>
  <c r="HY75" i="2"/>
  <c r="HY73" i="2"/>
  <c r="HY70" i="2"/>
  <c r="HY69" i="2"/>
  <c r="HY68" i="2"/>
  <c r="HY72" i="2"/>
  <c r="HY67" i="2"/>
  <c r="HY66" i="2"/>
  <c r="HY65" i="2"/>
  <c r="HY64" i="2"/>
  <c r="HY63" i="2"/>
  <c r="HY62" i="2"/>
  <c r="BF43" i="5" s="1"/>
  <c r="HY60" i="2"/>
  <c r="HY56" i="2"/>
  <c r="BA28" i="5"/>
  <c r="BA29" i="5"/>
  <c r="BA30" i="5"/>
  <c r="BA31" i="5"/>
  <c r="BA32" i="5"/>
  <c r="BA33" i="5"/>
  <c r="BA34" i="5"/>
  <c r="BA35" i="5"/>
  <c r="BA27" i="5"/>
  <c r="BA26" i="5"/>
  <c r="DQ135" i="2"/>
  <c r="GI10" i="5"/>
  <c r="GI11" i="5"/>
  <c r="GI12" i="5"/>
  <c r="GI13" i="5"/>
  <c r="GI14" i="5"/>
  <c r="GI15" i="5"/>
  <c r="GI16" i="5"/>
  <c r="GI17" i="5"/>
  <c r="GI18" i="5"/>
  <c r="GI19" i="5"/>
  <c r="GI20" i="5"/>
  <c r="GI21" i="5"/>
  <c r="GI22" i="5"/>
  <c r="GI23" i="5"/>
  <c r="GI9" i="5"/>
  <c r="FY10" i="5"/>
  <c r="FZ10" i="5"/>
  <c r="GB10" i="5"/>
  <c r="GC10" i="5"/>
  <c r="FY11" i="5"/>
  <c r="FZ11" i="5"/>
  <c r="GB11" i="5"/>
  <c r="GC11" i="5"/>
  <c r="FY12" i="5"/>
  <c r="FZ12" i="5"/>
  <c r="GB12" i="5"/>
  <c r="GC12" i="5"/>
  <c r="FY13" i="5"/>
  <c r="FZ13" i="5"/>
  <c r="GB13" i="5"/>
  <c r="GC13" i="5"/>
  <c r="FY14" i="5"/>
  <c r="FZ14" i="5"/>
  <c r="GB14" i="5"/>
  <c r="GC14" i="5"/>
  <c r="FY15" i="5"/>
  <c r="FZ15" i="5"/>
  <c r="GB15" i="5"/>
  <c r="GC15" i="5"/>
  <c r="FY16" i="5"/>
  <c r="FZ16" i="5"/>
  <c r="GB16" i="5"/>
  <c r="GC16" i="5"/>
  <c r="FY17" i="5"/>
  <c r="FZ17" i="5"/>
  <c r="GB17" i="5"/>
  <c r="GC17" i="5"/>
  <c r="FY18" i="5"/>
  <c r="FZ18" i="5"/>
  <c r="GB18" i="5"/>
  <c r="GC18" i="5"/>
  <c r="FY19" i="5"/>
  <c r="FZ19" i="5"/>
  <c r="GB19" i="5"/>
  <c r="GC19" i="5"/>
  <c r="FY20" i="5"/>
  <c r="FZ20" i="5"/>
  <c r="GB20" i="5"/>
  <c r="GC20" i="5"/>
  <c r="FY21" i="5"/>
  <c r="FZ21" i="5"/>
  <c r="GB21" i="5"/>
  <c r="GC21" i="5"/>
  <c r="FY22" i="5"/>
  <c r="FZ22" i="5"/>
  <c r="GB22" i="5"/>
  <c r="GC22" i="5"/>
  <c r="FY23" i="5"/>
  <c r="FZ23" i="5"/>
  <c r="GB23" i="5"/>
  <c r="GC23" i="5"/>
  <c r="GC9" i="5"/>
  <c r="GB9" i="5"/>
  <c r="FZ9" i="5"/>
  <c r="FY9" i="5"/>
  <c r="FV10" i="5"/>
  <c r="FW10" i="5"/>
  <c r="FV11" i="5"/>
  <c r="FW11" i="5"/>
  <c r="FV12" i="5"/>
  <c r="FW12" i="5"/>
  <c r="FV13" i="5"/>
  <c r="FW13" i="5"/>
  <c r="FV14" i="5"/>
  <c r="FW14" i="5"/>
  <c r="FV15" i="5"/>
  <c r="FW15" i="5"/>
  <c r="FV16" i="5"/>
  <c r="FW16" i="5"/>
  <c r="FV17" i="5"/>
  <c r="FW17" i="5"/>
  <c r="FV18" i="5"/>
  <c r="FW18" i="5"/>
  <c r="FV19" i="5"/>
  <c r="FW19" i="5"/>
  <c r="FV20" i="5"/>
  <c r="FW20" i="5"/>
  <c r="FV21" i="5"/>
  <c r="FW21" i="5"/>
  <c r="FV22" i="5"/>
  <c r="FW22" i="5"/>
  <c r="FV23" i="5"/>
  <c r="FW23" i="5"/>
  <c r="FW9" i="5"/>
  <c r="FV9" i="5"/>
  <c r="FS10" i="5"/>
  <c r="FT10" i="5"/>
  <c r="FS11" i="5"/>
  <c r="FT11" i="5"/>
  <c r="FS12" i="5"/>
  <c r="FT12" i="5"/>
  <c r="FS13" i="5"/>
  <c r="FT13" i="5"/>
  <c r="FS14" i="5"/>
  <c r="FT14" i="5"/>
  <c r="FS15" i="5"/>
  <c r="FT15" i="5"/>
  <c r="FS16" i="5"/>
  <c r="FT16" i="5"/>
  <c r="FS17" i="5"/>
  <c r="FT17" i="5"/>
  <c r="FS18" i="5"/>
  <c r="FT18" i="5"/>
  <c r="FS19" i="5"/>
  <c r="FT19" i="5"/>
  <c r="FS20" i="5"/>
  <c r="FT20" i="5"/>
  <c r="FS21" i="5"/>
  <c r="FT21" i="5"/>
  <c r="FS22" i="5"/>
  <c r="FT22" i="5"/>
  <c r="FS23" i="5"/>
  <c r="FT23" i="5"/>
  <c r="FT9" i="5"/>
  <c r="FS9" i="5"/>
  <c r="AAL13" i="2"/>
  <c r="AAM13" i="2"/>
  <c r="AAM2" i="2"/>
  <c r="AAL2" i="2"/>
  <c r="AAK2" i="2"/>
  <c r="AAK13" i="2"/>
  <c r="AAF15" i="2"/>
  <c r="AAF14" i="2"/>
  <c r="AAF13" i="2"/>
  <c r="AAH19" i="2"/>
  <c r="AAG19" i="2"/>
  <c r="AAF19" i="2"/>
  <c r="AAF18" i="2"/>
  <c r="AAH17" i="2"/>
  <c r="AAG17" i="2"/>
  <c r="AAF17" i="2"/>
  <c r="AAH16" i="2"/>
  <c r="AAG16" i="2"/>
  <c r="AAH15" i="2"/>
  <c r="AAG15" i="2"/>
  <c r="AAH14" i="2"/>
  <c r="AAG14" i="2"/>
  <c r="AAH13" i="2"/>
  <c r="AAG13" i="2"/>
  <c r="AAH5" i="2"/>
  <c r="AAH4" i="2"/>
  <c r="AAG5" i="2"/>
  <c r="AAG4" i="2"/>
  <c r="AAF4" i="2"/>
  <c r="AAF3" i="2"/>
  <c r="AAG3" i="2"/>
  <c r="AAH3" i="2"/>
  <c r="AAH2" i="2"/>
  <c r="AAG2" i="2"/>
  <c r="AAF2" i="2"/>
  <c r="AAF7" i="2"/>
  <c r="AAH6" i="2"/>
  <c r="AAG6" i="2"/>
  <c r="AAF6" i="2"/>
  <c r="AAH8" i="2"/>
  <c r="AAG8" i="2"/>
  <c r="AAF8" i="2"/>
  <c r="FQ10" i="5"/>
  <c r="FQ11" i="5"/>
  <c r="FQ12" i="5"/>
  <c r="FQ13" i="5"/>
  <c r="FQ14" i="5"/>
  <c r="FQ15" i="5"/>
  <c r="FQ16" i="5"/>
  <c r="FQ17" i="5"/>
  <c r="FQ18" i="5"/>
  <c r="FQ19" i="5"/>
  <c r="FQ20" i="5"/>
  <c r="FQ21" i="5"/>
  <c r="FQ22" i="5"/>
  <c r="FQ23" i="5"/>
  <c r="FP16" i="5"/>
  <c r="FP17" i="5"/>
  <c r="FP18" i="5"/>
  <c r="FP19" i="5"/>
  <c r="FP20" i="5"/>
  <c r="FP21" i="5"/>
  <c r="FP22" i="5"/>
  <c r="FP23" i="5"/>
  <c r="FP10" i="5"/>
  <c r="FP11" i="5"/>
  <c r="FP12" i="5"/>
  <c r="FP13" i="5"/>
  <c r="FP14" i="5"/>
  <c r="FP15" i="5"/>
  <c r="FQ9" i="5"/>
  <c r="FP9" i="5"/>
  <c r="ME28" i="2"/>
  <c r="FR16" i="25" s="1"/>
  <c r="MG28" i="2"/>
  <c r="MG27" i="2"/>
  <c r="MF27" i="2"/>
  <c r="MF29" i="2"/>
  <c r="MG29" i="2"/>
  <c r="ME29" i="2"/>
  <c r="ME27" i="2"/>
  <c r="EQ12" i="5"/>
  <c r="EQ13" i="5"/>
  <c r="EQ14" i="5"/>
  <c r="EQ15" i="5"/>
  <c r="EQ16" i="5"/>
  <c r="EQ17" i="5"/>
  <c r="EQ18" i="5"/>
  <c r="EQ19" i="5"/>
  <c r="EQ20" i="5"/>
  <c r="EQ21" i="5"/>
  <c r="EQ22" i="5"/>
  <c r="EQ23" i="5"/>
  <c r="EQ9" i="5"/>
  <c r="EL12" i="5"/>
  <c r="EL13" i="5"/>
  <c r="EL14" i="5"/>
  <c r="EL15" i="5"/>
  <c r="EL16" i="5"/>
  <c r="EL17" i="5"/>
  <c r="EL18" i="5"/>
  <c r="EL19" i="5"/>
  <c r="EL20" i="5"/>
  <c r="EL21" i="5"/>
  <c r="EL22" i="5"/>
  <c r="EL23" i="5"/>
  <c r="EL9" i="5"/>
  <c r="DP12" i="5"/>
  <c r="DP13" i="5"/>
  <c r="DP14" i="5"/>
  <c r="DP15" i="5"/>
  <c r="DP16" i="5"/>
  <c r="DP17" i="5"/>
  <c r="DP18" i="5"/>
  <c r="DP19" i="5"/>
  <c r="DP20" i="5"/>
  <c r="DP21" i="5"/>
  <c r="DP22" i="5"/>
  <c r="DP23" i="5"/>
  <c r="DP9" i="5"/>
  <c r="EB10" i="5"/>
  <c r="GN10" i="5" s="1"/>
  <c r="EB11" i="5"/>
  <c r="GN11" i="5" s="1"/>
  <c r="EB12" i="5"/>
  <c r="EB13" i="5"/>
  <c r="EB14" i="5"/>
  <c r="EB15" i="5"/>
  <c r="EB16" i="5"/>
  <c r="EB17" i="5"/>
  <c r="EB18" i="5"/>
  <c r="EB19" i="5"/>
  <c r="EB20" i="5"/>
  <c r="EB21" i="5"/>
  <c r="EB22" i="5"/>
  <c r="EB23" i="5"/>
  <c r="EB9" i="5"/>
  <c r="GN9" i="5" s="1"/>
  <c r="CO11" i="5"/>
  <c r="CO12" i="5"/>
  <c r="J20" i="18"/>
  <c r="J17" i="18"/>
  <c r="BK10" i="5"/>
  <c r="BK11" i="5"/>
  <c r="BK12" i="5"/>
  <c r="BK13" i="5"/>
  <c r="BK14" i="5"/>
  <c r="BK15" i="5"/>
  <c r="BK16" i="5"/>
  <c r="BK17" i="5"/>
  <c r="BK18" i="5"/>
  <c r="BK19" i="5"/>
  <c r="BK20" i="5"/>
  <c r="BK21" i="5"/>
  <c r="BK22" i="5"/>
  <c r="BK23" i="5"/>
  <c r="BK9" i="5"/>
  <c r="BF10" i="5"/>
  <c r="BF11" i="5"/>
  <c r="BF12" i="5"/>
  <c r="BF13" i="5"/>
  <c r="BF14" i="5"/>
  <c r="BF15" i="5"/>
  <c r="BF16" i="5"/>
  <c r="BF17" i="5"/>
  <c r="BF18" i="5"/>
  <c r="BF19" i="5"/>
  <c r="BF20" i="5"/>
  <c r="BF21" i="5"/>
  <c r="BF22" i="5"/>
  <c r="BF23" i="5"/>
  <c r="BF9" i="5"/>
  <c r="BB10" i="5"/>
  <c r="BB11" i="5"/>
  <c r="BB12" i="5"/>
  <c r="BB13" i="5"/>
  <c r="BB14" i="5"/>
  <c r="BB15" i="5"/>
  <c r="BB16" i="5"/>
  <c r="BB17" i="5"/>
  <c r="BB18" i="5"/>
  <c r="BB19" i="5"/>
  <c r="BB20" i="5"/>
  <c r="BB21" i="5"/>
  <c r="BB22" i="5"/>
  <c r="BB23" i="5"/>
  <c r="BB9" i="5"/>
  <c r="AV21" i="5"/>
  <c r="AV22" i="5"/>
  <c r="AV23" i="5"/>
  <c r="CB10" i="5"/>
  <c r="CB11" i="5"/>
  <c r="CB12" i="5"/>
  <c r="CB13" i="5"/>
  <c r="CB14" i="5"/>
  <c r="CB15" i="5"/>
  <c r="CB16" i="5"/>
  <c r="CB17" i="5"/>
  <c r="CB18" i="5"/>
  <c r="CB19" i="5"/>
  <c r="CB20" i="5"/>
  <c r="CB21" i="5"/>
  <c r="CB22" i="5"/>
  <c r="CB23" i="5"/>
  <c r="CB9" i="5"/>
  <c r="CP10" i="5"/>
  <c r="CP11" i="5"/>
  <c r="CP12" i="5"/>
  <c r="CP13" i="5"/>
  <c r="CP14" i="5"/>
  <c r="CP15" i="5"/>
  <c r="CP16" i="5"/>
  <c r="CP17" i="5"/>
  <c r="CP18" i="5"/>
  <c r="CP19" i="5"/>
  <c r="CP20" i="5"/>
  <c r="CP21" i="5"/>
  <c r="CP22" i="5"/>
  <c r="CP23" i="5"/>
  <c r="CP9" i="5"/>
  <c r="FK25" i="2"/>
  <c r="FK24" i="2"/>
  <c r="FK23" i="2"/>
  <c r="FK22" i="2"/>
  <c r="FK21" i="2"/>
  <c r="FK20" i="2"/>
  <c r="FK19" i="2"/>
  <c r="CA10" i="5"/>
  <c r="CA11" i="5"/>
  <c r="CA12" i="5"/>
  <c r="CA13" i="5"/>
  <c r="CA14" i="5"/>
  <c r="CA15" i="5"/>
  <c r="CA16" i="5"/>
  <c r="CA17" i="5"/>
  <c r="CA18" i="5"/>
  <c r="CA19" i="5"/>
  <c r="CA20" i="5"/>
  <c r="CA21" i="5"/>
  <c r="CA22" i="5"/>
  <c r="CA23" i="5"/>
  <c r="CA9" i="5"/>
  <c r="FD21" i="5"/>
  <c r="FD22" i="5"/>
  <c r="FD23" i="5"/>
  <c r="CZ10" i="5"/>
  <c r="CZ11" i="5"/>
  <c r="CZ12" i="5"/>
  <c r="CZ13" i="5"/>
  <c r="CZ14" i="5"/>
  <c r="CZ15" i="5"/>
  <c r="CZ16" i="5"/>
  <c r="CZ17" i="5"/>
  <c r="CZ18" i="5"/>
  <c r="CZ19" i="5"/>
  <c r="CZ20" i="5"/>
  <c r="CZ21" i="5"/>
  <c r="CZ22" i="5"/>
  <c r="CZ23" i="5"/>
  <c r="CZ9" i="5"/>
  <c r="CY10" i="5"/>
  <c r="CY11" i="5"/>
  <c r="CY12" i="5"/>
  <c r="CY13" i="5"/>
  <c r="CY14" i="5"/>
  <c r="CY15" i="5"/>
  <c r="CY16" i="5"/>
  <c r="CY17" i="5"/>
  <c r="CY18" i="5"/>
  <c r="CY19" i="5"/>
  <c r="CY20" i="5"/>
  <c r="CY21" i="5"/>
  <c r="CY22" i="5"/>
  <c r="CY23" i="5"/>
  <c r="CY9" i="5"/>
  <c r="T9" i="15"/>
  <c r="T11" i="15"/>
  <c r="T12" i="15"/>
  <c r="T13" i="15"/>
  <c r="T14" i="15"/>
  <c r="T15" i="15"/>
  <c r="T16" i="15"/>
  <c r="T17" i="15"/>
  <c r="T18" i="15"/>
  <c r="T19" i="15"/>
  <c r="T20" i="15"/>
  <c r="T21" i="15"/>
  <c r="T22" i="15"/>
  <c r="T23" i="15"/>
  <c r="T24" i="15"/>
  <c r="T25" i="15"/>
  <c r="T26" i="15"/>
  <c r="T27" i="15"/>
  <c r="M5" i="23"/>
  <c r="M4" i="23"/>
  <c r="M3" i="23"/>
  <c r="M2" i="23"/>
  <c r="M1" i="23"/>
  <c r="D21" i="18"/>
  <c r="DY57" i="23"/>
  <c r="DU57" i="23"/>
  <c r="DR57" i="23"/>
  <c r="DI57" i="23"/>
  <c r="DK57" i="23" s="1"/>
  <c r="DJ57" i="23"/>
  <c r="CQ57" i="23"/>
  <c r="BY57" i="23"/>
  <c r="BT57" i="23"/>
  <c r="BM57" i="23"/>
  <c r="S57" i="23"/>
  <c r="DY56" i="23"/>
  <c r="DU56" i="23"/>
  <c r="DR56" i="23"/>
  <c r="DJ56" i="23"/>
  <c r="DK56" i="23" s="1"/>
  <c r="DI56" i="23"/>
  <c r="CQ56" i="23"/>
  <c r="BY56" i="23"/>
  <c r="BT56" i="23"/>
  <c r="BM56" i="23"/>
  <c r="S56" i="23"/>
  <c r="DY55" i="23"/>
  <c r="DU55" i="23"/>
  <c r="DR55" i="23"/>
  <c r="DJ55" i="23"/>
  <c r="DK55" i="23" s="1"/>
  <c r="DI55" i="23"/>
  <c r="CQ55" i="23"/>
  <c r="BY55" i="23"/>
  <c r="BT55" i="23"/>
  <c r="BM55" i="23"/>
  <c r="S55" i="23"/>
  <c r="DY54" i="23"/>
  <c r="DU54" i="23"/>
  <c r="DR54" i="23"/>
  <c r="DJ54" i="23"/>
  <c r="DI54" i="23"/>
  <c r="CQ54" i="23"/>
  <c r="BY54" i="23"/>
  <c r="BT54" i="23"/>
  <c r="BM54" i="23"/>
  <c r="S54" i="23"/>
  <c r="DY53" i="23"/>
  <c r="DU53" i="23"/>
  <c r="DR53" i="23"/>
  <c r="DI53" i="23"/>
  <c r="DK53" i="23" s="1"/>
  <c r="DJ53" i="23"/>
  <c r="CQ53" i="23"/>
  <c r="BY53" i="23"/>
  <c r="BT53" i="23"/>
  <c r="BM53" i="23"/>
  <c r="S53" i="23"/>
  <c r="DY52" i="23"/>
  <c r="DU52" i="23"/>
  <c r="DR52" i="23"/>
  <c r="DJ52" i="23"/>
  <c r="DI52" i="23"/>
  <c r="DK52" i="23" s="1"/>
  <c r="CQ52" i="23"/>
  <c r="BY52" i="23"/>
  <c r="BT52" i="23"/>
  <c r="BM52" i="23"/>
  <c r="S52" i="23"/>
  <c r="DY51" i="23"/>
  <c r="DU51" i="23"/>
  <c r="DR51" i="23"/>
  <c r="DJ51" i="23"/>
  <c r="DK51" i="23" s="1"/>
  <c r="DI51" i="23"/>
  <c r="CQ51" i="23"/>
  <c r="BY51" i="23"/>
  <c r="BT51" i="23"/>
  <c r="BM51" i="23"/>
  <c r="S51" i="23"/>
  <c r="DY50" i="23"/>
  <c r="DU50" i="23"/>
  <c r="DR50" i="23"/>
  <c r="DJ50" i="23"/>
  <c r="DI50" i="23"/>
  <c r="CQ50" i="23"/>
  <c r="BY50" i="23"/>
  <c r="BT50" i="23"/>
  <c r="BM50" i="23"/>
  <c r="S50" i="23"/>
  <c r="DY49" i="23"/>
  <c r="DU49" i="23"/>
  <c r="DR49" i="23"/>
  <c r="DI49" i="23"/>
  <c r="DK49" i="23" s="1"/>
  <c r="DJ49" i="23"/>
  <c r="CQ49" i="23"/>
  <c r="BY49" i="23"/>
  <c r="BT49" i="23"/>
  <c r="BM49" i="23"/>
  <c r="S49" i="23"/>
  <c r="DY48" i="23"/>
  <c r="DU48" i="23"/>
  <c r="DR48" i="23"/>
  <c r="DJ48" i="23"/>
  <c r="DI48" i="23"/>
  <c r="CQ48" i="23"/>
  <c r="BY48" i="23"/>
  <c r="BT48" i="23"/>
  <c r="BM48" i="23"/>
  <c r="S48" i="23"/>
  <c r="DY47" i="23"/>
  <c r="DU47" i="23"/>
  <c r="DR47" i="23"/>
  <c r="DJ47" i="23"/>
  <c r="DK47" i="23" s="1"/>
  <c r="DI47" i="23"/>
  <c r="CQ47" i="23"/>
  <c r="BY47" i="23"/>
  <c r="BT47" i="23"/>
  <c r="BM47" i="23"/>
  <c r="S47" i="23"/>
  <c r="DY46" i="23"/>
  <c r="DU46" i="23"/>
  <c r="DR46" i="23"/>
  <c r="DJ46" i="23"/>
  <c r="DI46" i="23"/>
  <c r="CQ46" i="23"/>
  <c r="BY46" i="23"/>
  <c r="BT46" i="23"/>
  <c r="BM46" i="23"/>
  <c r="S46" i="23"/>
  <c r="DY45" i="23"/>
  <c r="DU45" i="23"/>
  <c r="DR45" i="23"/>
  <c r="DI45" i="23"/>
  <c r="DK45" i="23" s="1"/>
  <c r="DJ45" i="23"/>
  <c r="CQ45" i="23"/>
  <c r="BY45" i="23"/>
  <c r="BT45" i="23"/>
  <c r="BM45" i="23"/>
  <c r="S45" i="23"/>
  <c r="DY44" i="23"/>
  <c r="DU44" i="23"/>
  <c r="DR44" i="23"/>
  <c r="DJ44" i="23"/>
  <c r="DI44" i="23"/>
  <c r="DK44" i="23" s="1"/>
  <c r="CQ44" i="23"/>
  <c r="BY44" i="23"/>
  <c r="BT44" i="23"/>
  <c r="BM44" i="23"/>
  <c r="S44" i="23"/>
  <c r="DY43" i="23"/>
  <c r="DU43" i="23"/>
  <c r="DR43" i="23"/>
  <c r="DJ43" i="23"/>
  <c r="DI43" i="23"/>
  <c r="CQ43" i="23"/>
  <c r="BY43" i="23"/>
  <c r="BT43" i="23"/>
  <c r="BM43" i="23"/>
  <c r="S43" i="23"/>
  <c r="DY42" i="23"/>
  <c r="DU42" i="23"/>
  <c r="DR42" i="23"/>
  <c r="DJ42" i="23"/>
  <c r="DI42" i="23"/>
  <c r="CQ42" i="23"/>
  <c r="BY42" i="23"/>
  <c r="BT42" i="23"/>
  <c r="BM42" i="23"/>
  <c r="S42" i="23"/>
  <c r="DY41" i="23"/>
  <c r="DU41" i="23"/>
  <c r="DR41" i="23"/>
  <c r="DI41" i="23"/>
  <c r="DK41" i="23" s="1"/>
  <c r="DJ41" i="23"/>
  <c r="CQ41" i="23"/>
  <c r="BY41" i="23"/>
  <c r="BT41" i="23"/>
  <c r="BM41" i="23"/>
  <c r="S41" i="23"/>
  <c r="DY40" i="23"/>
  <c r="DU40" i="23"/>
  <c r="DR40" i="23"/>
  <c r="DJ40" i="23"/>
  <c r="DK40" i="23" s="1"/>
  <c r="DI40" i="23"/>
  <c r="CQ40" i="23"/>
  <c r="BY40" i="23"/>
  <c r="BT40" i="23"/>
  <c r="BM40" i="23"/>
  <c r="S40" i="23"/>
  <c r="DY39" i="23"/>
  <c r="DU39" i="23"/>
  <c r="DR39" i="23"/>
  <c r="DJ39" i="23"/>
  <c r="DI39" i="23"/>
  <c r="CQ39" i="23"/>
  <c r="BY39" i="23"/>
  <c r="BT39" i="23"/>
  <c r="BM39" i="23"/>
  <c r="S39" i="23"/>
  <c r="DY38" i="23"/>
  <c r="DU38" i="23"/>
  <c r="DR38" i="23"/>
  <c r="DJ38" i="23"/>
  <c r="DI38" i="23"/>
  <c r="CQ38" i="23"/>
  <c r="BY38" i="23"/>
  <c r="BT38" i="23"/>
  <c r="BM38" i="23"/>
  <c r="S38" i="23"/>
  <c r="DY37" i="23"/>
  <c r="DU37" i="23"/>
  <c r="DR37" i="23"/>
  <c r="DI37" i="23"/>
  <c r="DK37" i="23" s="1"/>
  <c r="DJ37" i="23"/>
  <c r="CQ37" i="23"/>
  <c r="BY37" i="23"/>
  <c r="BT37" i="23"/>
  <c r="BM37" i="23"/>
  <c r="S37" i="23"/>
  <c r="DY36" i="23"/>
  <c r="DU36" i="23"/>
  <c r="DR36" i="23"/>
  <c r="DJ36" i="23"/>
  <c r="DI36" i="23"/>
  <c r="CQ36" i="23"/>
  <c r="BY36" i="23"/>
  <c r="BT36" i="23"/>
  <c r="BM36" i="23"/>
  <c r="S36" i="23"/>
  <c r="DY35" i="23"/>
  <c r="DU35" i="23"/>
  <c r="DR35" i="23"/>
  <c r="DJ35" i="23"/>
  <c r="DI35" i="23"/>
  <c r="CQ35" i="23"/>
  <c r="BY35" i="23"/>
  <c r="BT35" i="23"/>
  <c r="BM35" i="23"/>
  <c r="S35" i="23"/>
  <c r="DY34" i="23"/>
  <c r="DU34" i="23"/>
  <c r="DR34" i="23"/>
  <c r="DJ34" i="23"/>
  <c r="DI34" i="23"/>
  <c r="CQ34" i="23"/>
  <c r="BY34" i="23"/>
  <c r="BT34" i="23"/>
  <c r="BM34" i="23"/>
  <c r="S34" i="23"/>
  <c r="DY33" i="23"/>
  <c r="DU33" i="23"/>
  <c r="DR33" i="23"/>
  <c r="DI33" i="23"/>
  <c r="DJ33" i="23"/>
  <c r="CQ33" i="23"/>
  <c r="BY33" i="23"/>
  <c r="BT33" i="23"/>
  <c r="BM33" i="23"/>
  <c r="S33" i="23"/>
  <c r="DY32" i="23"/>
  <c r="DU32" i="23"/>
  <c r="DR32" i="23"/>
  <c r="DJ32" i="23"/>
  <c r="DK32" i="23" s="1"/>
  <c r="DI32" i="23"/>
  <c r="CQ32" i="23"/>
  <c r="CN32" i="23"/>
  <c r="BY32" i="23"/>
  <c r="BT32" i="23"/>
  <c r="BM32" i="23"/>
  <c r="S32" i="23"/>
  <c r="DY31" i="23"/>
  <c r="DU31" i="23"/>
  <c r="DR31" i="23"/>
  <c r="DJ31" i="23"/>
  <c r="DI31" i="23"/>
  <c r="CQ31" i="23"/>
  <c r="CN31" i="23"/>
  <c r="BY31" i="23"/>
  <c r="BT31" i="23"/>
  <c r="BM31" i="23"/>
  <c r="S31" i="23"/>
  <c r="DY30" i="23"/>
  <c r="DU30" i="23"/>
  <c r="DR30" i="23"/>
  <c r="DJ30" i="23"/>
  <c r="DI30" i="23"/>
  <c r="CQ30" i="23"/>
  <c r="CN30" i="23"/>
  <c r="BY30" i="23"/>
  <c r="BT30" i="23"/>
  <c r="BM30" i="23"/>
  <c r="S30" i="23"/>
  <c r="DY29" i="23"/>
  <c r="DU29" i="23"/>
  <c r="DR29" i="23"/>
  <c r="DJ29" i="23"/>
  <c r="DI29" i="23"/>
  <c r="CQ29" i="23"/>
  <c r="CN29" i="23"/>
  <c r="BY29" i="23"/>
  <c r="BT29" i="23"/>
  <c r="BM29" i="23"/>
  <c r="S29" i="23"/>
  <c r="DY28" i="23"/>
  <c r="DU28" i="23"/>
  <c r="DR28" i="23"/>
  <c r="DJ28" i="23"/>
  <c r="DI28" i="23"/>
  <c r="CQ28" i="23"/>
  <c r="CN28" i="23"/>
  <c r="BY28" i="23"/>
  <c r="BT28" i="23"/>
  <c r="BM28" i="23"/>
  <c r="S28" i="23"/>
  <c r="DY27" i="23"/>
  <c r="DU27" i="23"/>
  <c r="DR27" i="23"/>
  <c r="DJ27" i="23"/>
  <c r="DI27" i="23"/>
  <c r="CQ27" i="23"/>
  <c r="CN27" i="23"/>
  <c r="BY27" i="23"/>
  <c r="BT27" i="23"/>
  <c r="BM27" i="23"/>
  <c r="S27" i="23"/>
  <c r="DY26" i="23"/>
  <c r="DU26" i="23"/>
  <c r="DR26" i="23"/>
  <c r="DJ26" i="23"/>
  <c r="DI26" i="23"/>
  <c r="CQ26" i="23"/>
  <c r="CN26" i="23"/>
  <c r="BY26" i="23"/>
  <c r="BT26" i="23"/>
  <c r="BM26" i="23"/>
  <c r="S26" i="23"/>
  <c r="DY25" i="23"/>
  <c r="DU25" i="23"/>
  <c r="DR25" i="23"/>
  <c r="DJ25" i="23"/>
  <c r="DK25" i="23" s="1"/>
  <c r="DI25" i="23"/>
  <c r="CQ25" i="23"/>
  <c r="CN25" i="23"/>
  <c r="BY25" i="23"/>
  <c r="BT25" i="23"/>
  <c r="BM25" i="23"/>
  <c r="S25" i="23"/>
  <c r="DY24" i="23"/>
  <c r="DU24" i="23"/>
  <c r="DR24" i="23"/>
  <c r="DJ24" i="23"/>
  <c r="DK24" i="23" s="1"/>
  <c r="DI24" i="23"/>
  <c r="CQ24" i="23"/>
  <c r="CN24" i="23"/>
  <c r="BY24" i="23"/>
  <c r="BT24" i="23"/>
  <c r="BM24" i="23"/>
  <c r="S24" i="23"/>
  <c r="DY23" i="23"/>
  <c r="DU23" i="23"/>
  <c r="DR23" i="23"/>
  <c r="DJ23" i="23"/>
  <c r="DI23" i="23"/>
  <c r="CQ23" i="23"/>
  <c r="CN23" i="23"/>
  <c r="BY23" i="23"/>
  <c r="BT23" i="23"/>
  <c r="BM23" i="23"/>
  <c r="S23" i="23"/>
  <c r="DY22" i="23"/>
  <c r="DU22" i="23"/>
  <c r="DR22" i="23"/>
  <c r="DJ22" i="23"/>
  <c r="DI22" i="23"/>
  <c r="CQ22" i="23"/>
  <c r="CN22" i="23"/>
  <c r="BY22" i="23"/>
  <c r="BT22" i="23"/>
  <c r="BM22" i="23"/>
  <c r="S22" i="23"/>
  <c r="DY21" i="23"/>
  <c r="DU21" i="23"/>
  <c r="DR21" i="23"/>
  <c r="DJ21" i="23"/>
  <c r="DI21" i="23"/>
  <c r="CQ21" i="23"/>
  <c r="CN21" i="23"/>
  <c r="BY21" i="23"/>
  <c r="BT21" i="23"/>
  <c r="BM21" i="23"/>
  <c r="S21" i="23"/>
  <c r="DY20" i="23"/>
  <c r="DU20" i="23"/>
  <c r="DR20" i="23"/>
  <c r="DJ20" i="23"/>
  <c r="DI20" i="23"/>
  <c r="CQ20" i="23"/>
  <c r="CN20" i="23"/>
  <c r="BY20" i="23"/>
  <c r="BT20" i="23"/>
  <c r="BM20" i="23"/>
  <c r="S20" i="23"/>
  <c r="DY19" i="23"/>
  <c r="DU19" i="23"/>
  <c r="DR19" i="23"/>
  <c r="DJ19" i="23"/>
  <c r="DI19" i="23"/>
  <c r="CQ19" i="23"/>
  <c r="CN19" i="23"/>
  <c r="BY19" i="23"/>
  <c r="BT19" i="23"/>
  <c r="BM19" i="23"/>
  <c r="S19" i="23"/>
  <c r="DY18" i="23"/>
  <c r="DU18" i="23"/>
  <c r="DR18" i="23"/>
  <c r="DJ18" i="23"/>
  <c r="DI18" i="23"/>
  <c r="CQ18" i="23"/>
  <c r="CN18" i="23"/>
  <c r="BY18" i="23"/>
  <c r="BT18" i="23"/>
  <c r="BM18" i="23"/>
  <c r="S18" i="23"/>
  <c r="DY17" i="23"/>
  <c r="DU17" i="23"/>
  <c r="DR17" i="23"/>
  <c r="DJ17" i="23"/>
  <c r="DK17" i="23" s="1"/>
  <c r="DI17" i="23"/>
  <c r="CQ17" i="23"/>
  <c r="CN17" i="23"/>
  <c r="BY17" i="23"/>
  <c r="BT17" i="23"/>
  <c r="BM17" i="23"/>
  <c r="S17" i="23"/>
  <c r="DY16" i="23"/>
  <c r="DU16" i="23"/>
  <c r="DR16" i="23"/>
  <c r="DJ16" i="23"/>
  <c r="DI16" i="23"/>
  <c r="CQ16" i="23"/>
  <c r="CN16" i="23"/>
  <c r="BY16" i="23"/>
  <c r="BT16" i="23"/>
  <c r="BM16" i="23"/>
  <c r="S16" i="23"/>
  <c r="DY15" i="23"/>
  <c r="DU15" i="23"/>
  <c r="DR15" i="23"/>
  <c r="DJ15" i="23"/>
  <c r="DI15" i="23"/>
  <c r="CQ15" i="23"/>
  <c r="CN15" i="23"/>
  <c r="BY15" i="23"/>
  <c r="BT15" i="23"/>
  <c r="BM15" i="23"/>
  <c r="S15" i="23"/>
  <c r="DY14" i="23"/>
  <c r="DU14" i="23"/>
  <c r="DR14" i="23"/>
  <c r="DJ14" i="23"/>
  <c r="DI14" i="23"/>
  <c r="CQ14" i="23"/>
  <c r="CN14" i="23"/>
  <c r="BY14" i="23"/>
  <c r="BT14" i="23"/>
  <c r="BM14" i="23"/>
  <c r="S14" i="23"/>
  <c r="DY13" i="23"/>
  <c r="DU13" i="23"/>
  <c r="DR13" i="23"/>
  <c r="DJ13" i="23"/>
  <c r="DK13" i="23" s="1"/>
  <c r="DI13" i="23"/>
  <c r="CQ13" i="23"/>
  <c r="CN13" i="23"/>
  <c r="BY13" i="23"/>
  <c r="BT13" i="23"/>
  <c r="BM13" i="23"/>
  <c r="S13" i="23"/>
  <c r="DY12" i="23"/>
  <c r="DU12" i="23"/>
  <c r="DR12" i="23"/>
  <c r="DJ12" i="23"/>
  <c r="DI12" i="23"/>
  <c r="CQ12" i="23"/>
  <c r="CN12" i="23"/>
  <c r="BY12" i="23"/>
  <c r="BT12" i="23"/>
  <c r="BM12" i="23"/>
  <c r="S12" i="23"/>
  <c r="DY11" i="23"/>
  <c r="DU11" i="23"/>
  <c r="DR11" i="23"/>
  <c r="DJ11" i="23"/>
  <c r="DI11" i="23"/>
  <c r="CQ11" i="23"/>
  <c r="CN11" i="23"/>
  <c r="BY11" i="23"/>
  <c r="BT11" i="23"/>
  <c r="BM11" i="23"/>
  <c r="S11" i="23"/>
  <c r="DY10" i="23"/>
  <c r="DU10" i="23"/>
  <c r="DR10" i="23"/>
  <c r="DJ10" i="23"/>
  <c r="DI10" i="23"/>
  <c r="DG10" i="23"/>
  <c r="DF10" i="23"/>
  <c r="DE10" i="23"/>
  <c r="DD10" i="23"/>
  <c r="DC10" i="23"/>
  <c r="DB10" i="23"/>
  <c r="DA10" i="23"/>
  <c r="CZ10" i="23"/>
  <c r="CY10" i="23"/>
  <c r="CX10" i="23"/>
  <c r="CW10" i="23"/>
  <c r="CV10" i="23"/>
  <c r="CU10" i="23"/>
  <c r="CT10" i="23"/>
  <c r="CQ10" i="23"/>
  <c r="CN10" i="23"/>
  <c r="BY10" i="23"/>
  <c r="BT10" i="23"/>
  <c r="BM10" i="23"/>
  <c r="S10" i="23"/>
  <c r="DY9" i="23"/>
  <c r="DU9" i="23"/>
  <c r="DR9" i="23"/>
  <c r="DJ9" i="23"/>
  <c r="DI9" i="23"/>
  <c r="DG9" i="23"/>
  <c r="DF9" i="23"/>
  <c r="DE9" i="23"/>
  <c r="DD9" i="23"/>
  <c r="DC9" i="23"/>
  <c r="DB9" i="23"/>
  <c r="DA9" i="23"/>
  <c r="CZ9" i="23"/>
  <c r="CY9" i="23"/>
  <c r="CX9" i="23"/>
  <c r="CW9" i="23"/>
  <c r="CV9" i="23"/>
  <c r="CU9" i="23"/>
  <c r="CT9" i="23"/>
  <c r="CQ9" i="23"/>
  <c r="CN9" i="23"/>
  <c r="BY9" i="23"/>
  <c r="BT9" i="23"/>
  <c r="BM9" i="23"/>
  <c r="S9" i="23"/>
  <c r="DY8" i="23"/>
  <c r="DU8" i="23"/>
  <c r="DR8" i="23"/>
  <c r="DJ8" i="23"/>
  <c r="DI8" i="23"/>
  <c r="DG8" i="23"/>
  <c r="DF8" i="23"/>
  <c r="DE8" i="23"/>
  <c r="DD8" i="23"/>
  <c r="DC8" i="23"/>
  <c r="DB8" i="23"/>
  <c r="DA8" i="23"/>
  <c r="CZ8" i="23"/>
  <c r="CY8" i="23"/>
  <c r="CX8" i="23"/>
  <c r="CW8" i="23"/>
  <c r="CV8" i="23"/>
  <c r="CU8" i="23"/>
  <c r="CT8" i="23"/>
  <c r="CQ8" i="23"/>
  <c r="CN8" i="23"/>
  <c r="BY8" i="23"/>
  <c r="BT8" i="23"/>
  <c r="BM8" i="23"/>
  <c r="S8" i="23"/>
  <c r="DG7" i="23"/>
  <c r="DF7" i="23"/>
  <c r="DE7" i="23"/>
  <c r="DD7" i="23"/>
  <c r="DC7" i="23"/>
  <c r="DB7" i="23"/>
  <c r="DA7" i="23"/>
  <c r="CZ7" i="23"/>
  <c r="CY7" i="23"/>
  <c r="CX7" i="23"/>
  <c r="CW7" i="23"/>
  <c r="CV7" i="23"/>
  <c r="CU7" i="23"/>
  <c r="CT7" i="23"/>
  <c r="FG21" i="5"/>
  <c r="FG22" i="5"/>
  <c r="FG23" i="5"/>
  <c r="FF21" i="5"/>
  <c r="FF22" i="5"/>
  <c r="FF23" i="5"/>
  <c r="BC44" i="5"/>
  <c r="BC45" i="5"/>
  <c r="BC46" i="5"/>
  <c r="BC47" i="5"/>
  <c r="BC48" i="5"/>
  <c r="BC49" i="5"/>
  <c r="BC50" i="5"/>
  <c r="BC51" i="5"/>
  <c r="BC52" i="5"/>
  <c r="BC43" i="5"/>
  <c r="BA52" i="5"/>
  <c r="BA44" i="5"/>
  <c r="BA45" i="5"/>
  <c r="BA46" i="5"/>
  <c r="BA47" i="5"/>
  <c r="BA48" i="5"/>
  <c r="BA49" i="5"/>
  <c r="BA50" i="5"/>
  <c r="BA51" i="5"/>
  <c r="BA43" i="5"/>
  <c r="CD10" i="5"/>
  <c r="CD11" i="5"/>
  <c r="CD12" i="5"/>
  <c r="CD13" i="5"/>
  <c r="CD14" i="5"/>
  <c r="CD15" i="5"/>
  <c r="CD16" i="5"/>
  <c r="CD17" i="5"/>
  <c r="CD18" i="5"/>
  <c r="CD19" i="5"/>
  <c r="CD20" i="5"/>
  <c r="CD21" i="5"/>
  <c r="CD22" i="5"/>
  <c r="CD23" i="5"/>
  <c r="CD9" i="5"/>
  <c r="YL14" i="2"/>
  <c r="YL7" i="2"/>
  <c r="YL6" i="2"/>
  <c r="FI10" i="5"/>
  <c r="FJ10" i="5"/>
  <c r="FI11" i="5"/>
  <c r="FJ11" i="5"/>
  <c r="FI12" i="5"/>
  <c r="FJ12" i="5"/>
  <c r="FI13" i="5"/>
  <c r="FJ13" i="5"/>
  <c r="FI14" i="5"/>
  <c r="FJ14" i="5"/>
  <c r="FI15" i="5"/>
  <c r="FJ15" i="5"/>
  <c r="FI16" i="5"/>
  <c r="FJ16" i="5"/>
  <c r="FI17" i="5"/>
  <c r="FJ17" i="5"/>
  <c r="FI18" i="5"/>
  <c r="FJ18" i="5"/>
  <c r="FI19" i="5"/>
  <c r="FJ19" i="5"/>
  <c r="FI20" i="5"/>
  <c r="FJ20" i="5"/>
  <c r="FI21" i="5"/>
  <c r="FJ21" i="5"/>
  <c r="FI22" i="5"/>
  <c r="FJ22" i="5"/>
  <c r="FI23" i="5"/>
  <c r="FJ23" i="5"/>
  <c r="FJ9" i="5"/>
  <c r="FI9" i="5"/>
  <c r="EE10" i="5"/>
  <c r="EE11" i="5"/>
  <c r="EE12" i="5"/>
  <c r="EE13" i="5"/>
  <c r="EE14" i="5"/>
  <c r="EE15" i="5"/>
  <c r="EE16" i="5"/>
  <c r="EE17" i="5"/>
  <c r="EE18" i="5"/>
  <c r="EE19" i="5"/>
  <c r="EE20" i="5"/>
  <c r="EE21" i="5"/>
  <c r="EE22" i="5"/>
  <c r="EE23" i="5"/>
  <c r="EE9" i="5"/>
  <c r="ED10" i="5"/>
  <c r="ED11" i="5"/>
  <c r="ED12" i="5"/>
  <c r="ED13" i="5"/>
  <c r="ED14" i="5"/>
  <c r="ED15" i="5"/>
  <c r="ED16" i="5"/>
  <c r="ED17" i="5"/>
  <c r="ED18" i="5"/>
  <c r="ED19" i="5"/>
  <c r="ED20" i="5"/>
  <c r="ED21" i="5"/>
  <c r="ED22" i="5"/>
  <c r="ED23" i="5"/>
  <c r="ED9" i="5"/>
  <c r="EC10" i="5"/>
  <c r="EC11" i="5"/>
  <c r="EC12" i="5"/>
  <c r="EC13" i="5"/>
  <c r="EC14" i="5"/>
  <c r="EC15" i="5"/>
  <c r="EC16" i="5"/>
  <c r="EC17" i="5"/>
  <c r="EC18" i="5"/>
  <c r="EC19" i="5"/>
  <c r="EC20" i="5"/>
  <c r="EC21" i="5"/>
  <c r="EC22" i="5"/>
  <c r="EC23" i="5"/>
  <c r="EC9" i="5"/>
  <c r="FJ25" i="2"/>
  <c r="FI25" i="2"/>
  <c r="FH25" i="2"/>
  <c r="FL24" i="2"/>
  <c r="FJ24" i="2"/>
  <c r="FI24" i="2"/>
  <c r="FH24" i="2"/>
  <c r="FL23" i="2"/>
  <c r="FJ23" i="2"/>
  <c r="FI23" i="2"/>
  <c r="FH23" i="2"/>
  <c r="FJ22" i="2"/>
  <c r="FI22" i="2"/>
  <c r="FH22" i="2"/>
  <c r="FJ21" i="2"/>
  <c r="FI21" i="2"/>
  <c r="FH21" i="2"/>
  <c r="FJ20" i="2"/>
  <c r="FI20" i="2"/>
  <c r="FJ19" i="2"/>
  <c r="FI19" i="2"/>
  <c r="BO9" i="22"/>
  <c r="BQ9" i="22" s="1"/>
  <c r="BO10" i="22"/>
  <c r="BQ10" i="22" s="1"/>
  <c r="BO11" i="22"/>
  <c r="BQ11" i="22" s="1"/>
  <c r="BO12" i="22"/>
  <c r="BQ12" i="22" s="1"/>
  <c r="BO13" i="22"/>
  <c r="BQ13" i="22" s="1"/>
  <c r="BO14" i="22"/>
  <c r="BQ14" i="22" s="1"/>
  <c r="BO15" i="22"/>
  <c r="BQ15" i="22" s="1"/>
  <c r="BO16" i="22"/>
  <c r="BQ16" i="22" s="1"/>
  <c r="BO17" i="22"/>
  <c r="BQ17" i="22" s="1"/>
  <c r="BO18" i="22"/>
  <c r="BQ18" i="22" s="1"/>
  <c r="BO19" i="22"/>
  <c r="BQ19" i="22" s="1"/>
  <c r="BO20" i="22"/>
  <c r="BQ20" i="22" s="1"/>
  <c r="BO21" i="22"/>
  <c r="BQ21" i="22" s="1"/>
  <c r="BO22" i="22"/>
  <c r="BQ22" i="22" s="1"/>
  <c r="BO23" i="22"/>
  <c r="BQ23" i="22" s="1"/>
  <c r="BO24" i="22"/>
  <c r="BQ24" i="22" s="1"/>
  <c r="BO25" i="22"/>
  <c r="BQ25" i="22" s="1"/>
  <c r="BO26" i="22"/>
  <c r="BQ26" i="22" s="1"/>
  <c r="BO27" i="22"/>
  <c r="BQ27" i="22" s="1"/>
  <c r="BO28" i="22"/>
  <c r="BQ28" i="22" s="1"/>
  <c r="BO29" i="22"/>
  <c r="BQ29" i="22" s="1"/>
  <c r="BO30" i="22"/>
  <c r="BQ30" i="22" s="1"/>
  <c r="BO31" i="22"/>
  <c r="BQ31" i="22" s="1"/>
  <c r="BO32" i="22"/>
  <c r="BQ32" i="22" s="1"/>
  <c r="BO33" i="22"/>
  <c r="BQ33" i="22" s="1"/>
  <c r="BO34" i="22"/>
  <c r="BQ34" i="22" s="1"/>
  <c r="BO35" i="22"/>
  <c r="BQ35" i="22" s="1"/>
  <c r="BO36" i="22"/>
  <c r="BQ36" i="22" s="1"/>
  <c r="BO37" i="22"/>
  <c r="BQ37" i="22" s="1"/>
  <c r="BO38" i="22"/>
  <c r="BQ38" i="22" s="1"/>
  <c r="BO39" i="22"/>
  <c r="BQ39" i="22" s="1"/>
  <c r="BO40" i="22"/>
  <c r="BQ40" i="22" s="1"/>
  <c r="BO41" i="22"/>
  <c r="BQ41" i="22" s="1"/>
  <c r="BO42" i="22"/>
  <c r="BQ42" i="22" s="1"/>
  <c r="BO43" i="22"/>
  <c r="BO44" i="22"/>
  <c r="BQ44" i="22" s="1"/>
  <c r="BO45" i="22"/>
  <c r="BQ45" i="22" s="1"/>
  <c r="BO46" i="22"/>
  <c r="BQ46" i="22" s="1"/>
  <c r="BO47" i="22"/>
  <c r="BQ47" i="22" s="1"/>
  <c r="BO48" i="22"/>
  <c r="BQ48" i="22" s="1"/>
  <c r="BO49" i="22"/>
  <c r="BQ49" i="22" s="1"/>
  <c r="BO50" i="22"/>
  <c r="BQ50" i="22" s="1"/>
  <c r="BO51" i="22"/>
  <c r="BQ51" i="22" s="1"/>
  <c r="BO52" i="22"/>
  <c r="BQ52" i="22" s="1"/>
  <c r="BO53" i="22"/>
  <c r="BO54" i="22"/>
  <c r="BQ54" i="22" s="1"/>
  <c r="BO55" i="22"/>
  <c r="BQ55" i="22" s="1"/>
  <c r="BO56" i="22"/>
  <c r="BQ56" i="22" s="1"/>
  <c r="BO57" i="22"/>
  <c r="BQ57" i="22" s="1"/>
  <c r="BK9" i="22"/>
  <c r="BK10" i="22"/>
  <c r="BK11" i="22"/>
  <c r="BK12" i="22"/>
  <c r="BK13" i="22"/>
  <c r="BK14" i="22"/>
  <c r="BK15" i="22"/>
  <c r="BK16" i="22"/>
  <c r="BK17" i="22"/>
  <c r="BK18" i="22"/>
  <c r="BK19" i="22"/>
  <c r="BK20" i="22"/>
  <c r="BK21" i="22"/>
  <c r="BK22" i="22"/>
  <c r="BK23" i="22"/>
  <c r="BK24" i="22"/>
  <c r="BK25" i="22"/>
  <c r="BK26" i="22"/>
  <c r="BK27" i="22"/>
  <c r="BK28" i="22"/>
  <c r="BK29" i="22"/>
  <c r="BK30" i="22"/>
  <c r="BK31" i="22"/>
  <c r="BK32" i="22"/>
  <c r="BK33" i="22"/>
  <c r="BK34" i="22"/>
  <c r="BK35" i="22"/>
  <c r="BK36" i="22"/>
  <c r="BK37" i="22"/>
  <c r="BK38" i="22"/>
  <c r="BK39" i="22"/>
  <c r="BK40" i="22"/>
  <c r="BK41" i="22"/>
  <c r="BK42" i="22"/>
  <c r="BK43" i="22"/>
  <c r="BK44" i="22"/>
  <c r="BK45" i="22"/>
  <c r="BK46" i="22"/>
  <c r="BK47" i="22"/>
  <c r="BK48" i="22"/>
  <c r="BK49" i="22"/>
  <c r="BK50" i="22"/>
  <c r="BK51" i="22"/>
  <c r="BK52" i="22"/>
  <c r="BK53" i="22"/>
  <c r="BK54" i="22"/>
  <c r="BK55" i="22"/>
  <c r="BK56" i="22"/>
  <c r="BK57" i="22"/>
  <c r="BK8" i="22"/>
  <c r="BJ9" i="22"/>
  <c r="BJ10" i="22"/>
  <c r="BJ11" i="22"/>
  <c r="BJ12" i="22"/>
  <c r="BJ13" i="22"/>
  <c r="BJ14" i="22"/>
  <c r="BJ15" i="22"/>
  <c r="BJ16" i="22"/>
  <c r="BJ17" i="22"/>
  <c r="BJ18" i="22"/>
  <c r="BJ19" i="22"/>
  <c r="BJ20" i="22"/>
  <c r="BJ21" i="22"/>
  <c r="BJ22" i="22"/>
  <c r="BJ23" i="22"/>
  <c r="BJ24" i="22"/>
  <c r="BJ25" i="22"/>
  <c r="BJ26" i="22"/>
  <c r="BJ27" i="22"/>
  <c r="BJ28" i="22"/>
  <c r="BJ29" i="22"/>
  <c r="BJ30" i="22"/>
  <c r="BJ31" i="22"/>
  <c r="BJ32" i="22"/>
  <c r="BJ33" i="22"/>
  <c r="BJ34" i="22"/>
  <c r="BJ35" i="22"/>
  <c r="BJ36" i="22"/>
  <c r="BJ37" i="22"/>
  <c r="BJ38" i="22"/>
  <c r="BJ39" i="22"/>
  <c r="BJ40" i="22"/>
  <c r="BJ41" i="22"/>
  <c r="BJ42" i="22"/>
  <c r="BJ43" i="22"/>
  <c r="BJ44" i="22"/>
  <c r="BJ45" i="22"/>
  <c r="BJ46" i="22"/>
  <c r="BJ47" i="22"/>
  <c r="BJ48" i="22"/>
  <c r="BJ49" i="22"/>
  <c r="BJ50" i="22"/>
  <c r="BJ51" i="22"/>
  <c r="BJ52" i="22"/>
  <c r="BJ53" i="22"/>
  <c r="BJ54" i="22"/>
  <c r="BJ55" i="22"/>
  <c r="BJ56" i="22"/>
  <c r="BJ57" i="22"/>
  <c r="BJ8" i="22"/>
  <c r="BI9" i="22"/>
  <c r="BI10" i="22"/>
  <c r="BI11" i="22"/>
  <c r="BI12" i="22"/>
  <c r="BI13" i="22"/>
  <c r="BI14" i="22"/>
  <c r="BI15" i="22"/>
  <c r="BI16" i="22"/>
  <c r="BI17" i="22"/>
  <c r="BI18" i="22"/>
  <c r="BI19" i="22"/>
  <c r="BI20" i="22"/>
  <c r="BI21" i="22"/>
  <c r="BI22" i="22"/>
  <c r="BI23" i="22"/>
  <c r="BI24" i="22"/>
  <c r="BI25" i="22"/>
  <c r="BI26" i="22"/>
  <c r="BI27" i="22"/>
  <c r="BI28" i="22"/>
  <c r="BI29" i="22"/>
  <c r="BI30" i="22"/>
  <c r="BI31" i="22"/>
  <c r="BI32" i="22"/>
  <c r="BI33" i="22"/>
  <c r="BI34" i="22"/>
  <c r="BI35" i="22"/>
  <c r="BI36" i="22"/>
  <c r="BI37" i="22"/>
  <c r="BI38" i="22"/>
  <c r="BI39" i="22"/>
  <c r="BI40" i="22"/>
  <c r="BI41" i="22"/>
  <c r="BI42" i="22"/>
  <c r="BI43" i="22"/>
  <c r="BI44" i="22"/>
  <c r="BI45" i="22"/>
  <c r="BI46" i="22"/>
  <c r="BI47" i="22"/>
  <c r="BI48" i="22"/>
  <c r="BI49" i="22"/>
  <c r="BI50" i="22"/>
  <c r="BI51" i="22"/>
  <c r="BI52" i="22"/>
  <c r="BI53" i="22"/>
  <c r="BI54" i="22"/>
  <c r="BI55" i="22"/>
  <c r="BI56" i="22"/>
  <c r="BI57" i="22"/>
  <c r="BI8" i="22"/>
  <c r="BO8" i="22"/>
  <c r="BQ8" i="22" s="1"/>
  <c r="BP57" i="22"/>
  <c r="BR57" i="22" s="1"/>
  <c r="BP56" i="22"/>
  <c r="BR56" i="22" s="1"/>
  <c r="BP55" i="22"/>
  <c r="BP52" i="22"/>
  <c r="BR52" i="22" s="1"/>
  <c r="BP49" i="22"/>
  <c r="BR49" i="22" s="1"/>
  <c r="BP48" i="22"/>
  <c r="BR48" i="22" s="1"/>
  <c r="BP45" i="22"/>
  <c r="BR45" i="22" s="1"/>
  <c r="BP44" i="22"/>
  <c r="BR44" i="22" s="1"/>
  <c r="BP41" i="22"/>
  <c r="BR41" i="22" s="1"/>
  <c r="BP40" i="22"/>
  <c r="BR40" i="22" s="1"/>
  <c r="BP37" i="22"/>
  <c r="BR37" i="22" s="1"/>
  <c r="BP36" i="22"/>
  <c r="BR36" i="22" s="1"/>
  <c r="BP33" i="22"/>
  <c r="BR33" i="22" s="1"/>
  <c r="BP32" i="22"/>
  <c r="BR32" i="22" s="1"/>
  <c r="BP31" i="22"/>
  <c r="BP28" i="22"/>
  <c r="BR28" i="22" s="1"/>
  <c r="BP25" i="22"/>
  <c r="BR25" i="22" s="1"/>
  <c r="BP24" i="22"/>
  <c r="BR24" i="22" s="1"/>
  <c r="BP21" i="22"/>
  <c r="BR21" i="22" s="1"/>
  <c r="BP20" i="22"/>
  <c r="BR20" i="22" s="1"/>
  <c r="BP17" i="22"/>
  <c r="BR17" i="22" s="1"/>
  <c r="BP16" i="22"/>
  <c r="BR16" i="22" s="1"/>
  <c r="BP15" i="22"/>
  <c r="BP12" i="22"/>
  <c r="BR12" i="22" s="1"/>
  <c r="BP9" i="22"/>
  <c r="BR9" i="22" s="1"/>
  <c r="BH9" i="8"/>
  <c r="BH10" i="8"/>
  <c r="BH11" i="8"/>
  <c r="BH12" i="8"/>
  <c r="BH13" i="8"/>
  <c r="BH14" i="8"/>
  <c r="BH15" i="8"/>
  <c r="BH16" i="8"/>
  <c r="BH17" i="8"/>
  <c r="BH18" i="8"/>
  <c r="BH19" i="8"/>
  <c r="BH20" i="8"/>
  <c r="BH21" i="8"/>
  <c r="BH22" i="8"/>
  <c r="BH23" i="8"/>
  <c r="BH24" i="8"/>
  <c r="BH25" i="8"/>
  <c r="BH26" i="8"/>
  <c r="BH27" i="8"/>
  <c r="BH28" i="8"/>
  <c r="BH29" i="8"/>
  <c r="BH30" i="8"/>
  <c r="BH31" i="8"/>
  <c r="BH32" i="8"/>
  <c r="BH33" i="8"/>
  <c r="BH34" i="8"/>
  <c r="BH35" i="8"/>
  <c r="BH36" i="8"/>
  <c r="BH37" i="8"/>
  <c r="BH38" i="8"/>
  <c r="BH39" i="8"/>
  <c r="BH40" i="8"/>
  <c r="BH41" i="8"/>
  <c r="BH42" i="8"/>
  <c r="BH43" i="8"/>
  <c r="BH44" i="8"/>
  <c r="BH45" i="8"/>
  <c r="BH46" i="8"/>
  <c r="BH47" i="8"/>
  <c r="BH48" i="8"/>
  <c r="BH49" i="8"/>
  <c r="BH50" i="8"/>
  <c r="BH51" i="8"/>
  <c r="BH52" i="8"/>
  <c r="BH53" i="8"/>
  <c r="BH54" i="8"/>
  <c r="BH55" i="8"/>
  <c r="BH56" i="8"/>
  <c r="BH57" i="8"/>
  <c r="BI9" i="8"/>
  <c r="BI10" i="8"/>
  <c r="BI11" i="8"/>
  <c r="BI12" i="8"/>
  <c r="BI13" i="8"/>
  <c r="BI14" i="8"/>
  <c r="BI15" i="8"/>
  <c r="BI16" i="8"/>
  <c r="BI17" i="8"/>
  <c r="BI18" i="8"/>
  <c r="BI19" i="8"/>
  <c r="BI20" i="8"/>
  <c r="BI21" i="8"/>
  <c r="BI22" i="8"/>
  <c r="BI23" i="8"/>
  <c r="BI24" i="8"/>
  <c r="BI25" i="8"/>
  <c r="BI26" i="8"/>
  <c r="BI27" i="8"/>
  <c r="BI28" i="8"/>
  <c r="BI29" i="8"/>
  <c r="BI30" i="8"/>
  <c r="BI31" i="8"/>
  <c r="BI32" i="8"/>
  <c r="BI33" i="8"/>
  <c r="BI34" i="8"/>
  <c r="BI35" i="8"/>
  <c r="BI36" i="8"/>
  <c r="BI37" i="8"/>
  <c r="BI38" i="8"/>
  <c r="BI39" i="8"/>
  <c r="BI40" i="8"/>
  <c r="BI41" i="8"/>
  <c r="BI42" i="8"/>
  <c r="BI43" i="8"/>
  <c r="BI44" i="8"/>
  <c r="BI45" i="8"/>
  <c r="BI46" i="8"/>
  <c r="BI47" i="8"/>
  <c r="BI48" i="8"/>
  <c r="BI49" i="8"/>
  <c r="BI50" i="8"/>
  <c r="BI51" i="8"/>
  <c r="BI52" i="8"/>
  <c r="BI53" i="8"/>
  <c r="BI54" i="8"/>
  <c r="BI55" i="8"/>
  <c r="BI56" i="8"/>
  <c r="BI57" i="8"/>
  <c r="BI8" i="8"/>
  <c r="BH8" i="8"/>
  <c r="BG9" i="8"/>
  <c r="BG10" i="8"/>
  <c r="BG11" i="8"/>
  <c r="BG12" i="8"/>
  <c r="BG13" i="8"/>
  <c r="BG14" i="8"/>
  <c r="BG15" i="8"/>
  <c r="BG16" i="8"/>
  <c r="BG17" i="8"/>
  <c r="BG18" i="8"/>
  <c r="BG19" i="8"/>
  <c r="BG20" i="8"/>
  <c r="BG21" i="8"/>
  <c r="BG22" i="8"/>
  <c r="BG23" i="8"/>
  <c r="BG24" i="8"/>
  <c r="BG25" i="8"/>
  <c r="BG26" i="8"/>
  <c r="BG27" i="8"/>
  <c r="BG28" i="8"/>
  <c r="BG29" i="8"/>
  <c r="BG30" i="8"/>
  <c r="BG31" i="8"/>
  <c r="BG32" i="8"/>
  <c r="BG33" i="8"/>
  <c r="BG34" i="8"/>
  <c r="BG35" i="8"/>
  <c r="BG36" i="8"/>
  <c r="BG37" i="8"/>
  <c r="BG38" i="8"/>
  <c r="BG39" i="8"/>
  <c r="BG40" i="8"/>
  <c r="BG41" i="8"/>
  <c r="BG42" i="8"/>
  <c r="BG43" i="8"/>
  <c r="BG44" i="8"/>
  <c r="BG45" i="8"/>
  <c r="BG46" i="8"/>
  <c r="BG47" i="8"/>
  <c r="BG48" i="8"/>
  <c r="BG49" i="8"/>
  <c r="BG50" i="8"/>
  <c r="BG51" i="8"/>
  <c r="BG52" i="8"/>
  <c r="BG53" i="8"/>
  <c r="BG54" i="8"/>
  <c r="BG55" i="8"/>
  <c r="BG56" i="8"/>
  <c r="BG57" i="8"/>
  <c r="BG8" i="8"/>
  <c r="PV16" i="2"/>
  <c r="PV17" i="2"/>
  <c r="PV18" i="2"/>
  <c r="PV19" i="2"/>
  <c r="PV20" i="2"/>
  <c r="PV15" i="2"/>
  <c r="PV14" i="2"/>
  <c r="PV13" i="2"/>
  <c r="BM9" i="22"/>
  <c r="BM11" i="22"/>
  <c r="BM12" i="22"/>
  <c r="BM13" i="22"/>
  <c r="BM14" i="22"/>
  <c r="BM15" i="22"/>
  <c r="BM16" i="22"/>
  <c r="BM17" i="22"/>
  <c r="BM18" i="22"/>
  <c r="BM19" i="22"/>
  <c r="BM20" i="22"/>
  <c r="BM21" i="22"/>
  <c r="BM22" i="22"/>
  <c r="BM23" i="22"/>
  <c r="BM24" i="22"/>
  <c r="BM25" i="22"/>
  <c r="BM26" i="22"/>
  <c r="BM27" i="22"/>
  <c r="BM28" i="22"/>
  <c r="BM29" i="22"/>
  <c r="BM30" i="22"/>
  <c r="BM31" i="22"/>
  <c r="BM32" i="22"/>
  <c r="BM33" i="22"/>
  <c r="BM34" i="22"/>
  <c r="BM35" i="22"/>
  <c r="BM36" i="22"/>
  <c r="BM37" i="22"/>
  <c r="BM38" i="22"/>
  <c r="BM39" i="22"/>
  <c r="BM40" i="22"/>
  <c r="BM41" i="22"/>
  <c r="BM42" i="22"/>
  <c r="BM43" i="22"/>
  <c r="BM44" i="22"/>
  <c r="BM45" i="22"/>
  <c r="BM46" i="22"/>
  <c r="BM47" i="22"/>
  <c r="BM48" i="22"/>
  <c r="BM49" i="22"/>
  <c r="BM50" i="22"/>
  <c r="BM51" i="22"/>
  <c r="BM52" i="22"/>
  <c r="BM53" i="22"/>
  <c r="BM54" i="22"/>
  <c r="BM55" i="22"/>
  <c r="BM56" i="22"/>
  <c r="BM57" i="22"/>
  <c r="BL9" i="22"/>
  <c r="BN9" i="22" s="1"/>
  <c r="BL11" i="22"/>
  <c r="BN11" i="22" s="1"/>
  <c r="BL12" i="22"/>
  <c r="BN12" i="22" s="1"/>
  <c r="BL13" i="22"/>
  <c r="BN13" i="22" s="1"/>
  <c r="BL14" i="22"/>
  <c r="BN14" i="22" s="1"/>
  <c r="BL15" i="22"/>
  <c r="BN15" i="22" s="1"/>
  <c r="BL16" i="22"/>
  <c r="BN16" i="22" s="1"/>
  <c r="BL17" i="22"/>
  <c r="BN17" i="22" s="1"/>
  <c r="BL18" i="22"/>
  <c r="BN18" i="22" s="1"/>
  <c r="BL19" i="22"/>
  <c r="BN19" i="22" s="1"/>
  <c r="BL20" i="22"/>
  <c r="BN20" i="22" s="1"/>
  <c r="BL21" i="22"/>
  <c r="BN21" i="22" s="1"/>
  <c r="BL22" i="22"/>
  <c r="BN22" i="22" s="1"/>
  <c r="BL23" i="22"/>
  <c r="BN23" i="22" s="1"/>
  <c r="BL24" i="22"/>
  <c r="BL25" i="22"/>
  <c r="BN25" i="22" s="1"/>
  <c r="BL26" i="22"/>
  <c r="BN26" i="22" s="1"/>
  <c r="BL27" i="22"/>
  <c r="BN27" i="22" s="1"/>
  <c r="BL28" i="22"/>
  <c r="BL29" i="22"/>
  <c r="BN29" i="22" s="1"/>
  <c r="BL30" i="22"/>
  <c r="BN30" i="22" s="1"/>
  <c r="BL31" i="22"/>
  <c r="BN31" i="22" s="1"/>
  <c r="BL32" i="22"/>
  <c r="BL33" i="22"/>
  <c r="BN33" i="22" s="1"/>
  <c r="BL34" i="22"/>
  <c r="BN34" i="22" s="1"/>
  <c r="BL35" i="22"/>
  <c r="BN35" i="22" s="1"/>
  <c r="BL36" i="22"/>
  <c r="BN36" i="22" s="1"/>
  <c r="BL37" i="22"/>
  <c r="BN37" i="22" s="1"/>
  <c r="BL38" i="22"/>
  <c r="BN38" i="22" s="1"/>
  <c r="BL39" i="22"/>
  <c r="BN39" i="22" s="1"/>
  <c r="BL40" i="22"/>
  <c r="BL41" i="22"/>
  <c r="BN41" i="22" s="1"/>
  <c r="BL42" i="22"/>
  <c r="BN42" i="22" s="1"/>
  <c r="BL43" i="22"/>
  <c r="BN43" i="22" s="1"/>
  <c r="BL44" i="22"/>
  <c r="BN44" i="22" s="1"/>
  <c r="BL45" i="22"/>
  <c r="BN45" i="22" s="1"/>
  <c r="BL46" i="22"/>
  <c r="BN46" i="22" s="1"/>
  <c r="BL47" i="22"/>
  <c r="BN47" i="22" s="1"/>
  <c r="BL48" i="22"/>
  <c r="BN48" i="22" s="1"/>
  <c r="BL49" i="22"/>
  <c r="BN49" i="22" s="1"/>
  <c r="BL50" i="22"/>
  <c r="BN50" i="22" s="1"/>
  <c r="BL51" i="22"/>
  <c r="BN51" i="22" s="1"/>
  <c r="BL52" i="22"/>
  <c r="BN52" i="22" s="1"/>
  <c r="BL53" i="22"/>
  <c r="BN53" i="22" s="1"/>
  <c r="BL54" i="22"/>
  <c r="BN54" i="22" s="1"/>
  <c r="BL55" i="22"/>
  <c r="BN55" i="22" s="1"/>
  <c r="BL56" i="22"/>
  <c r="BN56" i="22" s="1"/>
  <c r="BL57" i="22"/>
  <c r="BN57" i="22" s="1"/>
  <c r="BM10" i="22"/>
  <c r="BL10" i="22"/>
  <c r="BM8" i="22"/>
  <c r="BL8" i="22"/>
  <c r="Y9" i="22"/>
  <c r="X9" i="22" s="1"/>
  <c r="Y10" i="22"/>
  <c r="X10" i="22" s="1"/>
  <c r="Y11" i="22"/>
  <c r="Y12" i="22"/>
  <c r="Y13" i="22"/>
  <c r="X13" i="22" s="1"/>
  <c r="Y14" i="22"/>
  <c r="X14" i="22" s="1"/>
  <c r="Y15" i="22"/>
  <c r="AA15" i="22" s="1"/>
  <c r="Y16" i="22"/>
  <c r="Y17" i="22"/>
  <c r="X17" i="22" s="1"/>
  <c r="Y18" i="22"/>
  <c r="X18" i="22" s="1"/>
  <c r="Y19" i="22"/>
  <c r="Y20" i="22"/>
  <c r="Y21" i="22"/>
  <c r="X21" i="22" s="1"/>
  <c r="Y22" i="22"/>
  <c r="X22" i="22" s="1"/>
  <c r="Y23" i="22"/>
  <c r="AA23" i="22" s="1"/>
  <c r="Y24" i="22"/>
  <c r="Y25" i="22"/>
  <c r="Y26" i="22"/>
  <c r="X26" i="22" s="1"/>
  <c r="Y27" i="22"/>
  <c r="X27" i="22" s="1"/>
  <c r="Y28" i="22"/>
  <c r="X28" i="22" s="1"/>
  <c r="Y29" i="22"/>
  <c r="Y30" i="22"/>
  <c r="X30" i="22" s="1"/>
  <c r="Y31" i="22"/>
  <c r="AA31" i="22" s="1"/>
  <c r="Y32" i="22"/>
  <c r="Y33" i="22"/>
  <c r="Y34" i="22"/>
  <c r="X34" i="22" s="1"/>
  <c r="Y35" i="22"/>
  <c r="AA35" i="22" s="1"/>
  <c r="Y36" i="22"/>
  <c r="Y37" i="22"/>
  <c r="X37" i="22" s="1"/>
  <c r="Y38" i="22"/>
  <c r="X38" i="22" s="1"/>
  <c r="Y39" i="22"/>
  <c r="Y40" i="22"/>
  <c r="Y41" i="22"/>
  <c r="Y42" i="22"/>
  <c r="X42" i="22" s="1"/>
  <c r="Y43" i="22"/>
  <c r="X43" i="22" s="1"/>
  <c r="Y44" i="22"/>
  <c r="X44" i="22" s="1"/>
  <c r="Y45" i="22"/>
  <c r="X45" i="22" s="1"/>
  <c r="Y46" i="22"/>
  <c r="X46" i="22" s="1"/>
  <c r="Y47" i="22"/>
  <c r="X47" i="22" s="1"/>
  <c r="Y48" i="22"/>
  <c r="Y49" i="22"/>
  <c r="X49" i="22" s="1"/>
  <c r="Y50" i="22"/>
  <c r="X50" i="22" s="1"/>
  <c r="Y51" i="22"/>
  <c r="AA51" i="22" s="1"/>
  <c r="Y52" i="22"/>
  <c r="X52" i="22" s="1"/>
  <c r="Y53" i="22"/>
  <c r="Y54" i="22"/>
  <c r="X54" i="22" s="1"/>
  <c r="Y55" i="22"/>
  <c r="X55" i="22" s="1"/>
  <c r="Y56" i="22"/>
  <c r="X56" i="22" s="1"/>
  <c r="Y57" i="22"/>
  <c r="X57" i="22" s="1"/>
  <c r="Y8" i="22"/>
  <c r="X8" i="22" s="1"/>
  <c r="BH9" i="22"/>
  <c r="BH10" i="22"/>
  <c r="BH11" i="22"/>
  <c r="BH12" i="22"/>
  <c r="BH13" i="22"/>
  <c r="BH14" i="22"/>
  <c r="BH15" i="22"/>
  <c r="BH16" i="22"/>
  <c r="BH17" i="22"/>
  <c r="BH18" i="22"/>
  <c r="BH19" i="22"/>
  <c r="BH20" i="22"/>
  <c r="BH21" i="22"/>
  <c r="BH22" i="22"/>
  <c r="BH23" i="22"/>
  <c r="BH24" i="22"/>
  <c r="BH25" i="22"/>
  <c r="BH26" i="22"/>
  <c r="BH27" i="22"/>
  <c r="BH28" i="22"/>
  <c r="BH29" i="22"/>
  <c r="BH30" i="22"/>
  <c r="BH31" i="22"/>
  <c r="BH32" i="22"/>
  <c r="BH33" i="22"/>
  <c r="BH34" i="22"/>
  <c r="BH35" i="22"/>
  <c r="BH36" i="22"/>
  <c r="BH37" i="22"/>
  <c r="BH38" i="22"/>
  <c r="BH39" i="22"/>
  <c r="BH40" i="22"/>
  <c r="BH41" i="22"/>
  <c r="BH42" i="22"/>
  <c r="BH43" i="22"/>
  <c r="BH44" i="22"/>
  <c r="BH45" i="22"/>
  <c r="BH46" i="22"/>
  <c r="BH47" i="22"/>
  <c r="BH48" i="22"/>
  <c r="BH49" i="22"/>
  <c r="BH50" i="22"/>
  <c r="BH51" i="22"/>
  <c r="BH52" i="22"/>
  <c r="BH53" i="22"/>
  <c r="BH54" i="22"/>
  <c r="BH55" i="22"/>
  <c r="BH56" i="22"/>
  <c r="BH57" i="22"/>
  <c r="BH8" i="22"/>
  <c r="BF57" i="22"/>
  <c r="BE57" i="22"/>
  <c r="BD57" i="22"/>
  <c r="BC57" i="22"/>
  <c r="BB57" i="22"/>
  <c r="AW57" i="22"/>
  <c r="AV57" i="22"/>
  <c r="AX57" i="22" s="1"/>
  <c r="AL57" i="22"/>
  <c r="AJ57" i="22"/>
  <c r="AH57" i="22"/>
  <c r="AE57" i="22"/>
  <c r="AD57" i="22"/>
  <c r="BF56" i="22"/>
  <c r="BE56" i="22"/>
  <c r="BD56" i="22"/>
  <c r="BC56" i="22"/>
  <c r="BB56" i="22"/>
  <c r="AW56" i="22"/>
  <c r="AV56" i="22"/>
  <c r="AX56" i="22" s="1"/>
  <c r="AL56" i="22"/>
  <c r="AJ56" i="22"/>
  <c r="AH56" i="22"/>
  <c r="AE56" i="22"/>
  <c r="AD56" i="22"/>
  <c r="BF55" i="22"/>
  <c r="BE55" i="22"/>
  <c r="BD55" i="22"/>
  <c r="BC55" i="22"/>
  <c r="BB55" i="22"/>
  <c r="AW55" i="22"/>
  <c r="AV55" i="22"/>
  <c r="AX55" i="22" s="1"/>
  <c r="AL55" i="22"/>
  <c r="AJ55" i="22"/>
  <c r="AH55" i="22"/>
  <c r="AE55" i="22"/>
  <c r="AD55" i="22"/>
  <c r="BF54" i="22"/>
  <c r="BE54" i="22"/>
  <c r="BD54" i="22"/>
  <c r="BC54" i="22"/>
  <c r="BB54" i="22"/>
  <c r="AW54" i="22"/>
  <c r="AV54" i="22"/>
  <c r="AX54" i="22" s="1"/>
  <c r="AL54" i="22"/>
  <c r="AJ54" i="22"/>
  <c r="AH54" i="22"/>
  <c r="AE54" i="22"/>
  <c r="AD54" i="22"/>
  <c r="BF53" i="22"/>
  <c r="BE53" i="22"/>
  <c r="BD53" i="22"/>
  <c r="BC53" i="22"/>
  <c r="BB53" i="22"/>
  <c r="AW53" i="22"/>
  <c r="AV53" i="22"/>
  <c r="AX53" i="22" s="1"/>
  <c r="AL53" i="22"/>
  <c r="AJ53" i="22"/>
  <c r="AH53" i="22"/>
  <c r="AE53" i="22"/>
  <c r="AD53" i="22"/>
  <c r="BF52" i="22"/>
  <c r="BE52" i="22"/>
  <c r="BD52" i="22"/>
  <c r="BC52" i="22"/>
  <c r="BB52" i="22"/>
  <c r="AW52" i="22"/>
  <c r="AV52" i="22"/>
  <c r="AX52" i="22" s="1"/>
  <c r="AL52" i="22"/>
  <c r="AJ52" i="22"/>
  <c r="AH52" i="22"/>
  <c r="AE52" i="22"/>
  <c r="AD52" i="22"/>
  <c r="BF51" i="22"/>
  <c r="BE51" i="22"/>
  <c r="BD51" i="22"/>
  <c r="BC51" i="22"/>
  <c r="BB51" i="22"/>
  <c r="AW51" i="22"/>
  <c r="AV51" i="22"/>
  <c r="AX51" i="22" s="1"/>
  <c r="AL51" i="22"/>
  <c r="AJ51" i="22"/>
  <c r="AH51" i="22"/>
  <c r="AE51" i="22"/>
  <c r="AD51" i="22"/>
  <c r="BF50" i="22"/>
  <c r="BE50" i="22"/>
  <c r="BD50" i="22"/>
  <c r="BC50" i="22"/>
  <c r="BB50" i="22"/>
  <c r="AW50" i="22"/>
  <c r="AV50" i="22"/>
  <c r="AX50" i="22" s="1"/>
  <c r="AL50" i="22"/>
  <c r="AJ50" i="22"/>
  <c r="AH50" i="22"/>
  <c r="AE50" i="22"/>
  <c r="AD50" i="22"/>
  <c r="BF49" i="22"/>
  <c r="BE49" i="22"/>
  <c r="BD49" i="22"/>
  <c r="BC49" i="22"/>
  <c r="BB49" i="22"/>
  <c r="AW49" i="22"/>
  <c r="AV49" i="22"/>
  <c r="AX49" i="22" s="1"/>
  <c r="AL49" i="22"/>
  <c r="AJ49" i="22"/>
  <c r="AH49" i="22"/>
  <c r="AE49" i="22"/>
  <c r="AD49" i="22"/>
  <c r="BF48" i="22"/>
  <c r="BE48" i="22"/>
  <c r="BD48" i="22"/>
  <c r="BC48" i="22"/>
  <c r="BB48" i="22"/>
  <c r="AW48" i="22"/>
  <c r="AV48" i="22"/>
  <c r="AX48" i="22" s="1"/>
  <c r="AL48" i="22"/>
  <c r="AJ48" i="22"/>
  <c r="AH48" i="22"/>
  <c r="AE48" i="22"/>
  <c r="AD48" i="22"/>
  <c r="BF47" i="22"/>
  <c r="BE47" i="22"/>
  <c r="BD47" i="22"/>
  <c r="BC47" i="22"/>
  <c r="BB47" i="22"/>
  <c r="AW47" i="22"/>
  <c r="AV47" i="22"/>
  <c r="AX47" i="22" s="1"/>
  <c r="AL47" i="22"/>
  <c r="AJ47" i="22"/>
  <c r="AH47" i="22"/>
  <c r="AE47" i="22"/>
  <c r="AD47" i="22"/>
  <c r="BF46" i="22"/>
  <c r="BE46" i="22"/>
  <c r="BD46" i="22"/>
  <c r="BC46" i="22"/>
  <c r="BB46" i="22"/>
  <c r="AW46" i="22"/>
  <c r="AV46" i="22"/>
  <c r="AX46" i="22" s="1"/>
  <c r="AL46" i="22"/>
  <c r="AJ46" i="22"/>
  <c r="AH46" i="22"/>
  <c r="AE46" i="22"/>
  <c r="AD46" i="22"/>
  <c r="BF45" i="22"/>
  <c r="BE45" i="22"/>
  <c r="BD45" i="22"/>
  <c r="BC45" i="22"/>
  <c r="BB45" i="22"/>
  <c r="AW45" i="22"/>
  <c r="AV45" i="22"/>
  <c r="AX45" i="22" s="1"/>
  <c r="AL45" i="22"/>
  <c r="AJ45" i="22"/>
  <c r="AH45" i="22"/>
  <c r="AE45" i="22"/>
  <c r="AD45" i="22"/>
  <c r="BF44" i="22"/>
  <c r="BE44" i="22"/>
  <c r="BD44" i="22"/>
  <c r="BC44" i="22"/>
  <c r="BB44" i="22"/>
  <c r="AW44" i="22"/>
  <c r="AV44" i="22"/>
  <c r="AX44" i="22" s="1"/>
  <c r="AL44" i="22"/>
  <c r="AJ44" i="22"/>
  <c r="AH44" i="22"/>
  <c r="AE44" i="22"/>
  <c r="AD44" i="22"/>
  <c r="BF43" i="22"/>
  <c r="BE43" i="22"/>
  <c r="BD43" i="22"/>
  <c r="BC43" i="22"/>
  <c r="BB43" i="22"/>
  <c r="AW43" i="22"/>
  <c r="AV43" i="22"/>
  <c r="AX43" i="22" s="1"/>
  <c r="AL43" i="22"/>
  <c r="AJ43" i="22"/>
  <c r="AH43" i="22"/>
  <c r="AE43" i="22"/>
  <c r="AD43" i="22"/>
  <c r="BF42" i="22"/>
  <c r="BE42" i="22"/>
  <c r="BD42" i="22"/>
  <c r="BC42" i="22"/>
  <c r="BB42" i="22"/>
  <c r="AW42" i="22"/>
  <c r="AV42" i="22"/>
  <c r="AX42" i="22" s="1"/>
  <c r="AL42" i="22"/>
  <c r="AJ42" i="22"/>
  <c r="AH42" i="22"/>
  <c r="AE42" i="22"/>
  <c r="AD42" i="22"/>
  <c r="BF41" i="22"/>
  <c r="BE41" i="22"/>
  <c r="BD41" i="22"/>
  <c r="BC41" i="22"/>
  <c r="BB41" i="22"/>
  <c r="AW41" i="22"/>
  <c r="AV41" i="22"/>
  <c r="AX41" i="22" s="1"/>
  <c r="AL41" i="22"/>
  <c r="AJ41" i="22"/>
  <c r="AH41" i="22"/>
  <c r="AE41" i="22"/>
  <c r="AD41" i="22"/>
  <c r="BF40" i="22"/>
  <c r="BE40" i="22"/>
  <c r="BD40" i="22"/>
  <c r="BC40" i="22"/>
  <c r="BB40" i="22"/>
  <c r="AW40" i="22"/>
  <c r="AV40" i="22"/>
  <c r="AX40" i="22" s="1"/>
  <c r="AL40" i="22"/>
  <c r="AJ40" i="22"/>
  <c r="AH40" i="22"/>
  <c r="AE40" i="22"/>
  <c r="AD40" i="22"/>
  <c r="BF39" i="22"/>
  <c r="BE39" i="22"/>
  <c r="BD39" i="22"/>
  <c r="BC39" i="22"/>
  <c r="BB39" i="22"/>
  <c r="AW39" i="22"/>
  <c r="AV39" i="22"/>
  <c r="AX39" i="22" s="1"/>
  <c r="AL39" i="22"/>
  <c r="AJ39" i="22"/>
  <c r="AH39" i="22"/>
  <c r="AE39" i="22"/>
  <c r="AD39" i="22"/>
  <c r="BF38" i="22"/>
  <c r="BE38" i="22"/>
  <c r="BD38" i="22"/>
  <c r="BC38" i="22"/>
  <c r="BB38" i="22"/>
  <c r="AW38" i="22"/>
  <c r="AV38" i="22"/>
  <c r="AX38" i="22" s="1"/>
  <c r="AL38" i="22"/>
  <c r="AJ38" i="22"/>
  <c r="AH38" i="22"/>
  <c r="AE38" i="22"/>
  <c r="AD38" i="22"/>
  <c r="BF37" i="22"/>
  <c r="BE37" i="22"/>
  <c r="BD37" i="22"/>
  <c r="BC37" i="22"/>
  <c r="BB37" i="22"/>
  <c r="AW37" i="22"/>
  <c r="AV37" i="22"/>
  <c r="AX37" i="22" s="1"/>
  <c r="AL37" i="22"/>
  <c r="AJ37" i="22"/>
  <c r="AH37" i="22"/>
  <c r="AE37" i="22"/>
  <c r="AD37" i="22"/>
  <c r="BF36" i="22"/>
  <c r="BE36" i="22"/>
  <c r="BD36" i="22"/>
  <c r="BC36" i="22"/>
  <c r="BB36" i="22"/>
  <c r="AW36" i="22"/>
  <c r="AV36" i="22"/>
  <c r="AX36" i="22" s="1"/>
  <c r="AL36" i="22"/>
  <c r="AJ36" i="22"/>
  <c r="AH36" i="22"/>
  <c r="AE36" i="22"/>
  <c r="AD36" i="22"/>
  <c r="BF35" i="22"/>
  <c r="BE35" i="22"/>
  <c r="BD35" i="22"/>
  <c r="BC35" i="22"/>
  <c r="BB35" i="22"/>
  <c r="AW35" i="22"/>
  <c r="AV35" i="22"/>
  <c r="AX35" i="22" s="1"/>
  <c r="AL35" i="22"/>
  <c r="AJ35" i="22"/>
  <c r="AH35" i="22"/>
  <c r="AE35" i="22"/>
  <c r="AD35" i="22"/>
  <c r="BF34" i="22"/>
  <c r="BE34" i="22"/>
  <c r="BD34" i="22"/>
  <c r="BC34" i="22"/>
  <c r="BB34" i="22"/>
  <c r="AW34" i="22"/>
  <c r="AV34" i="22"/>
  <c r="AX34" i="22" s="1"/>
  <c r="AL34" i="22"/>
  <c r="AJ34" i="22"/>
  <c r="AH34" i="22"/>
  <c r="AE34" i="22"/>
  <c r="AD34" i="22"/>
  <c r="BF33" i="22"/>
  <c r="BE33" i="22"/>
  <c r="BD33" i="22"/>
  <c r="BC33" i="22"/>
  <c r="BB33" i="22"/>
  <c r="AW33" i="22"/>
  <c r="AV33" i="22"/>
  <c r="AX33" i="22" s="1"/>
  <c r="AL33" i="22"/>
  <c r="AJ33" i="22"/>
  <c r="AH33" i="22"/>
  <c r="AE33" i="22"/>
  <c r="AD33" i="22"/>
  <c r="BF32" i="22"/>
  <c r="BE32" i="22"/>
  <c r="BD32" i="22"/>
  <c r="BC32" i="22"/>
  <c r="BB32" i="22"/>
  <c r="AW32" i="22"/>
  <c r="AV32" i="22"/>
  <c r="AX32" i="22" s="1"/>
  <c r="AL32" i="22"/>
  <c r="AJ32" i="22"/>
  <c r="AH32" i="22"/>
  <c r="AE32" i="22"/>
  <c r="AD32" i="22"/>
  <c r="BF31" i="22"/>
  <c r="BE31" i="22"/>
  <c r="BD31" i="22"/>
  <c r="BC31" i="22"/>
  <c r="BB31" i="22"/>
  <c r="AW31" i="22"/>
  <c r="AV31" i="22"/>
  <c r="AX31" i="22" s="1"/>
  <c r="AL31" i="22"/>
  <c r="AJ31" i="22"/>
  <c r="AH31" i="22"/>
  <c r="AE31" i="22"/>
  <c r="AD31" i="22"/>
  <c r="BF30" i="22"/>
  <c r="BE30" i="22"/>
  <c r="BD30" i="22"/>
  <c r="BC30" i="22"/>
  <c r="BB30" i="22"/>
  <c r="AW30" i="22"/>
  <c r="AV30" i="22"/>
  <c r="AX30" i="22" s="1"/>
  <c r="AL30" i="22"/>
  <c r="AJ30" i="22"/>
  <c r="AH30" i="22"/>
  <c r="AE30" i="22"/>
  <c r="AD30" i="22"/>
  <c r="BF29" i="22"/>
  <c r="BE29" i="22"/>
  <c r="BD29" i="22"/>
  <c r="BC29" i="22"/>
  <c r="BB29" i="22"/>
  <c r="AW29" i="22"/>
  <c r="AV29" i="22"/>
  <c r="AX29" i="22" s="1"/>
  <c r="AL29" i="22"/>
  <c r="AJ29" i="22"/>
  <c r="AH29" i="22"/>
  <c r="AE29" i="22"/>
  <c r="AD29" i="22"/>
  <c r="BF28" i="22"/>
  <c r="BE28" i="22"/>
  <c r="BD28" i="22"/>
  <c r="BC28" i="22"/>
  <c r="BB28" i="22"/>
  <c r="AW28" i="22"/>
  <c r="AV28" i="22"/>
  <c r="AX28" i="22" s="1"/>
  <c r="AL28" i="22"/>
  <c r="AJ28" i="22"/>
  <c r="AH28" i="22"/>
  <c r="AE28" i="22"/>
  <c r="AD28" i="22"/>
  <c r="BF27" i="22"/>
  <c r="BE27" i="22"/>
  <c r="BD27" i="22"/>
  <c r="BC27" i="22"/>
  <c r="BB27" i="22"/>
  <c r="AW27" i="22"/>
  <c r="AV27" i="22"/>
  <c r="AX27" i="22" s="1"/>
  <c r="AL27" i="22"/>
  <c r="AJ27" i="22"/>
  <c r="AH27" i="22"/>
  <c r="AE27" i="22"/>
  <c r="AD27" i="22"/>
  <c r="BF26" i="22"/>
  <c r="BE26" i="22"/>
  <c r="BD26" i="22"/>
  <c r="BC26" i="22"/>
  <c r="BB26" i="22"/>
  <c r="AW26" i="22"/>
  <c r="AV26" i="22"/>
  <c r="AX26" i="22" s="1"/>
  <c r="AL26" i="22"/>
  <c r="AJ26" i="22"/>
  <c r="AH26" i="22"/>
  <c r="AE26" i="22"/>
  <c r="AD26" i="22"/>
  <c r="BF25" i="22"/>
  <c r="BE25" i="22"/>
  <c r="BD25" i="22"/>
  <c r="BC25" i="22"/>
  <c r="BB25" i="22"/>
  <c r="AW25" i="22"/>
  <c r="AV25" i="22"/>
  <c r="AX25" i="22" s="1"/>
  <c r="AL25" i="22"/>
  <c r="AJ25" i="22"/>
  <c r="AH25" i="22"/>
  <c r="AE25" i="22"/>
  <c r="AD25" i="22"/>
  <c r="BF24" i="22"/>
  <c r="BE24" i="22"/>
  <c r="BD24" i="22"/>
  <c r="BC24" i="22"/>
  <c r="BB24" i="22"/>
  <c r="AW24" i="22"/>
  <c r="AV24" i="22"/>
  <c r="AX24" i="22" s="1"/>
  <c r="AL24" i="22"/>
  <c r="AJ24" i="22"/>
  <c r="AH24" i="22"/>
  <c r="AE24" i="22"/>
  <c r="AD24" i="22"/>
  <c r="BF23" i="22"/>
  <c r="BE23" i="22"/>
  <c r="BD23" i="22"/>
  <c r="BC23" i="22"/>
  <c r="BB23" i="22"/>
  <c r="AW23" i="22"/>
  <c r="AV23" i="22"/>
  <c r="AX23" i="22" s="1"/>
  <c r="AL23" i="22"/>
  <c r="AJ23" i="22"/>
  <c r="AH23" i="22"/>
  <c r="AE23" i="22"/>
  <c r="AD23" i="22"/>
  <c r="BF22" i="22"/>
  <c r="BE22" i="22"/>
  <c r="BD22" i="22"/>
  <c r="BC22" i="22"/>
  <c r="BB22" i="22"/>
  <c r="AW22" i="22"/>
  <c r="AV22" i="22"/>
  <c r="AX22" i="22" s="1"/>
  <c r="AL22" i="22"/>
  <c r="AJ22" i="22"/>
  <c r="AH22" i="22"/>
  <c r="AE22" i="22"/>
  <c r="AD22" i="22"/>
  <c r="BF21" i="22"/>
  <c r="BE21" i="22"/>
  <c r="BD21" i="22"/>
  <c r="BC21" i="22"/>
  <c r="BB21" i="22"/>
  <c r="AW21" i="22"/>
  <c r="AV21" i="22"/>
  <c r="AX21" i="22" s="1"/>
  <c r="AL21" i="22"/>
  <c r="AJ21" i="22"/>
  <c r="AH21" i="22"/>
  <c r="AE21" i="22"/>
  <c r="AD21" i="22"/>
  <c r="BF20" i="22"/>
  <c r="BE20" i="22"/>
  <c r="BD20" i="22"/>
  <c r="BC20" i="22"/>
  <c r="BB20" i="22"/>
  <c r="AW20" i="22"/>
  <c r="AV20" i="22"/>
  <c r="AX20" i="22" s="1"/>
  <c r="AL20" i="22"/>
  <c r="AJ20" i="22"/>
  <c r="AH20" i="22"/>
  <c r="AE20" i="22"/>
  <c r="AD20" i="22"/>
  <c r="BF19" i="22"/>
  <c r="BE19" i="22"/>
  <c r="BD19" i="22"/>
  <c r="BC19" i="22"/>
  <c r="BB19" i="22"/>
  <c r="AW19" i="22"/>
  <c r="AV19" i="22"/>
  <c r="AX19" i="22" s="1"/>
  <c r="AL19" i="22"/>
  <c r="AJ19" i="22"/>
  <c r="AH19" i="22"/>
  <c r="AE19" i="22"/>
  <c r="AD19" i="22"/>
  <c r="BF18" i="22"/>
  <c r="BE18" i="22"/>
  <c r="BD18" i="22"/>
  <c r="BC18" i="22"/>
  <c r="BB18" i="22"/>
  <c r="AW18" i="22"/>
  <c r="AV18" i="22"/>
  <c r="AX18" i="22" s="1"/>
  <c r="AL18" i="22"/>
  <c r="AJ18" i="22"/>
  <c r="AH18" i="22"/>
  <c r="AE18" i="22"/>
  <c r="AD18" i="22"/>
  <c r="BF17" i="22"/>
  <c r="BE17" i="22"/>
  <c r="BD17" i="22"/>
  <c r="BC17" i="22"/>
  <c r="BB17" i="22"/>
  <c r="AW17" i="22"/>
  <c r="AV17" i="22"/>
  <c r="AX17" i="22" s="1"/>
  <c r="AL17" i="22"/>
  <c r="AJ17" i="22"/>
  <c r="AH17" i="22"/>
  <c r="AE17" i="22"/>
  <c r="AD17" i="22"/>
  <c r="BF16" i="22"/>
  <c r="BE16" i="22"/>
  <c r="BD16" i="22"/>
  <c r="BC16" i="22"/>
  <c r="BB16" i="22"/>
  <c r="AW16" i="22"/>
  <c r="AV16" i="22"/>
  <c r="AX16" i="22" s="1"/>
  <c r="AL16" i="22"/>
  <c r="AJ16" i="22"/>
  <c r="AH16" i="22"/>
  <c r="AE16" i="22"/>
  <c r="AD16" i="22"/>
  <c r="BF15" i="22"/>
  <c r="BE15" i="22"/>
  <c r="BD15" i="22"/>
  <c r="BC15" i="22"/>
  <c r="BB15" i="22"/>
  <c r="AW15" i="22"/>
  <c r="AV15" i="22"/>
  <c r="AX15" i="22" s="1"/>
  <c r="AL15" i="22"/>
  <c r="AJ15" i="22"/>
  <c r="AH15" i="22"/>
  <c r="AE15" i="22"/>
  <c r="AD15" i="22"/>
  <c r="BF14" i="22"/>
  <c r="BE14" i="22"/>
  <c r="BD14" i="22"/>
  <c r="BC14" i="22"/>
  <c r="BB14" i="22"/>
  <c r="AW14" i="22"/>
  <c r="AV14" i="22"/>
  <c r="AX14" i="22" s="1"/>
  <c r="AL14" i="22"/>
  <c r="AJ14" i="22"/>
  <c r="AH14" i="22"/>
  <c r="AE14" i="22"/>
  <c r="AD14" i="22"/>
  <c r="AB14" i="22"/>
  <c r="BF13" i="22"/>
  <c r="BE13" i="22"/>
  <c r="BD13" i="22"/>
  <c r="BC13" i="22"/>
  <c r="BB13" i="22"/>
  <c r="AW13" i="22"/>
  <c r="AV13" i="22"/>
  <c r="AX13" i="22" s="1"/>
  <c r="AL13" i="22"/>
  <c r="AJ13" i="22"/>
  <c r="AH13" i="22"/>
  <c r="AE13" i="22"/>
  <c r="AD13" i="22"/>
  <c r="AB13" i="22"/>
  <c r="BF12" i="22"/>
  <c r="BE12" i="22"/>
  <c r="BD12" i="22"/>
  <c r="BC12" i="22"/>
  <c r="BB12" i="22"/>
  <c r="AW12" i="22"/>
  <c r="AV12" i="22"/>
  <c r="AX12" i="22" s="1"/>
  <c r="AL12" i="22"/>
  <c r="AJ12" i="22"/>
  <c r="AH12" i="22"/>
  <c r="AE12" i="22"/>
  <c r="AD12" i="22"/>
  <c r="AB12" i="22"/>
  <c r="BF11" i="22"/>
  <c r="BE11" i="22"/>
  <c r="BD11" i="22"/>
  <c r="BC11" i="22"/>
  <c r="BB11" i="22"/>
  <c r="AW11" i="22"/>
  <c r="AV11" i="22"/>
  <c r="AX11" i="22" s="1"/>
  <c r="AL11" i="22"/>
  <c r="AJ11" i="22"/>
  <c r="AH11" i="22"/>
  <c r="AE11" i="22"/>
  <c r="AD11" i="22"/>
  <c r="AB11" i="22"/>
  <c r="BF10" i="22"/>
  <c r="BE10" i="22"/>
  <c r="BD10" i="22"/>
  <c r="BC10" i="22"/>
  <c r="BB10" i="22"/>
  <c r="AW10" i="22"/>
  <c r="AV10" i="22"/>
  <c r="AX10" i="22" s="1"/>
  <c r="AL10" i="22"/>
  <c r="AJ10" i="22"/>
  <c r="AH10" i="22"/>
  <c r="AE10" i="22"/>
  <c r="AD10" i="22"/>
  <c r="AB10" i="22"/>
  <c r="BF9" i="22"/>
  <c r="BE9" i="22"/>
  <c r="BD9" i="22"/>
  <c r="BC9" i="22"/>
  <c r="BB9" i="22"/>
  <c r="AW9" i="22"/>
  <c r="AV9" i="22"/>
  <c r="AX9" i="22" s="1"/>
  <c r="AL9" i="22"/>
  <c r="AJ9" i="22"/>
  <c r="AH9" i="22"/>
  <c r="AE9" i="22"/>
  <c r="AD9" i="22"/>
  <c r="AB9" i="22"/>
  <c r="BF8" i="22"/>
  <c r="BE8" i="22"/>
  <c r="BD8" i="22"/>
  <c r="BC8" i="22"/>
  <c r="BB8" i="22"/>
  <c r="AW8" i="22"/>
  <c r="AV8" i="22"/>
  <c r="AX8" i="22" s="1"/>
  <c r="AL8" i="22"/>
  <c r="AJ8" i="22"/>
  <c r="AH8" i="22"/>
  <c r="AE8" i="22"/>
  <c r="AD8" i="22"/>
  <c r="AC8" i="22"/>
  <c r="AB8" i="22"/>
  <c r="M5" i="22"/>
  <c r="M4" i="22"/>
  <c r="M3" i="22"/>
  <c r="M2" i="22"/>
  <c r="M1" i="22"/>
  <c r="AO9" i="21"/>
  <c r="AO10" i="21"/>
  <c r="AO11" i="21"/>
  <c r="AO12" i="21"/>
  <c r="AO13" i="21"/>
  <c r="AO14" i="21"/>
  <c r="AO15" i="21"/>
  <c r="AO16" i="21"/>
  <c r="AO17" i="21"/>
  <c r="AO18" i="21"/>
  <c r="AO19" i="21"/>
  <c r="AO20" i="21"/>
  <c r="AO21" i="21"/>
  <c r="AO22" i="21"/>
  <c r="AO23" i="21"/>
  <c r="AO24" i="21"/>
  <c r="AO25" i="21"/>
  <c r="AO26" i="21"/>
  <c r="AO27" i="21"/>
  <c r="AO28" i="21"/>
  <c r="AO29" i="21"/>
  <c r="AO30" i="21"/>
  <c r="AO31" i="21"/>
  <c r="AO32" i="21"/>
  <c r="AO33" i="21"/>
  <c r="AO34" i="21"/>
  <c r="AO35" i="21"/>
  <c r="AO36" i="21"/>
  <c r="AO37" i="21"/>
  <c r="AO38" i="21"/>
  <c r="AO39" i="21"/>
  <c r="AO40" i="21"/>
  <c r="AO41" i="21"/>
  <c r="AO42" i="21"/>
  <c r="AO43" i="21"/>
  <c r="AO44" i="21"/>
  <c r="AO45" i="21"/>
  <c r="AO46" i="21"/>
  <c r="AO47" i="21"/>
  <c r="AO48" i="21"/>
  <c r="AO49" i="21"/>
  <c r="AO50" i="21"/>
  <c r="AO51" i="21"/>
  <c r="AO52" i="21"/>
  <c r="AO53" i="21"/>
  <c r="AO54" i="21"/>
  <c r="AO55" i="21"/>
  <c r="AO56" i="21"/>
  <c r="AO57" i="21"/>
  <c r="AO8" i="21"/>
  <c r="AQ9" i="8"/>
  <c r="AQ10" i="8"/>
  <c r="AQ11" i="8"/>
  <c r="AQ12" i="8"/>
  <c r="AQ13" i="8"/>
  <c r="AQ14" i="8"/>
  <c r="AQ15" i="8"/>
  <c r="AQ16" i="8"/>
  <c r="AQ17" i="8"/>
  <c r="AQ18" i="8"/>
  <c r="AQ19" i="8"/>
  <c r="AQ20" i="8"/>
  <c r="AQ21" i="8"/>
  <c r="AQ22" i="8"/>
  <c r="AQ23" i="8"/>
  <c r="AQ24" i="8"/>
  <c r="AQ25" i="8"/>
  <c r="AQ26" i="8"/>
  <c r="AQ27" i="8"/>
  <c r="AQ28" i="8"/>
  <c r="AQ29" i="8"/>
  <c r="AQ30"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8" i="8"/>
  <c r="AJ9" i="8"/>
  <c r="AJ10" i="8"/>
  <c r="AJ11" i="8"/>
  <c r="AJ12" i="8"/>
  <c r="AJ13" i="8"/>
  <c r="AJ14" i="8"/>
  <c r="AJ15" i="8"/>
  <c r="AJ16" i="8"/>
  <c r="AJ17" i="8"/>
  <c r="AJ18" i="8"/>
  <c r="AJ19" i="8"/>
  <c r="AJ20" i="8"/>
  <c r="AJ21" i="8"/>
  <c r="AJ22" i="8"/>
  <c r="AJ23" i="8"/>
  <c r="AJ24" i="8"/>
  <c r="AJ25" i="8"/>
  <c r="AJ26" i="8"/>
  <c r="AJ27" i="8"/>
  <c r="AJ28" i="8"/>
  <c r="AJ29" i="8"/>
  <c r="AJ30" i="8"/>
  <c r="AJ31" i="8"/>
  <c r="AJ32" i="8"/>
  <c r="AJ33" i="8"/>
  <c r="AJ34" i="8"/>
  <c r="AJ35" i="8"/>
  <c r="AJ36" i="8"/>
  <c r="AJ37" i="8"/>
  <c r="AJ38" i="8"/>
  <c r="AJ39" i="8"/>
  <c r="AJ40" i="8"/>
  <c r="AJ41" i="8"/>
  <c r="AJ42" i="8"/>
  <c r="AJ43" i="8"/>
  <c r="AJ44" i="8"/>
  <c r="AJ45" i="8"/>
  <c r="AJ46" i="8"/>
  <c r="AJ47" i="8"/>
  <c r="AJ48" i="8"/>
  <c r="AJ49" i="8"/>
  <c r="AJ50" i="8"/>
  <c r="AJ51" i="8"/>
  <c r="AJ52" i="8"/>
  <c r="AJ53" i="8"/>
  <c r="AJ54" i="8"/>
  <c r="AJ55" i="8"/>
  <c r="AJ56" i="8"/>
  <c r="AJ57" i="8"/>
  <c r="AJ8" i="8"/>
  <c r="AF9" i="21"/>
  <c r="AF10" i="21"/>
  <c r="AF11" i="21"/>
  <c r="AF12" i="21"/>
  <c r="AF13" i="21"/>
  <c r="AF14" i="21"/>
  <c r="AF15" i="21"/>
  <c r="AF16" i="21"/>
  <c r="AF17" i="21"/>
  <c r="AF18" i="21"/>
  <c r="AF19" i="21"/>
  <c r="AF20" i="21"/>
  <c r="AF21" i="21"/>
  <c r="AF22" i="21"/>
  <c r="AF23" i="21"/>
  <c r="AF24" i="21"/>
  <c r="AF25" i="21"/>
  <c r="AF26" i="21"/>
  <c r="AF27" i="21"/>
  <c r="AF28" i="21"/>
  <c r="AF29" i="21"/>
  <c r="AF30" i="21"/>
  <c r="AF31" i="21"/>
  <c r="AF32" i="21"/>
  <c r="AF33" i="21"/>
  <c r="AF34" i="21"/>
  <c r="AF35" i="21"/>
  <c r="AF36" i="21"/>
  <c r="AF37" i="21"/>
  <c r="AF38" i="21"/>
  <c r="AF39" i="21"/>
  <c r="AF40" i="21"/>
  <c r="AF41" i="21"/>
  <c r="AF42" i="21"/>
  <c r="AF43" i="21"/>
  <c r="AF44" i="21"/>
  <c r="AF45" i="21"/>
  <c r="AF46" i="21"/>
  <c r="AF47" i="21"/>
  <c r="AF48" i="21"/>
  <c r="AF49" i="21"/>
  <c r="AF50" i="21"/>
  <c r="AF51" i="21"/>
  <c r="AF52" i="21"/>
  <c r="AF53" i="21"/>
  <c r="AF54" i="21"/>
  <c r="AF55" i="21"/>
  <c r="AF56" i="21"/>
  <c r="AF57" i="21"/>
  <c r="AF8" i="21"/>
  <c r="AN9" i="21"/>
  <c r="AN10" i="21"/>
  <c r="AN11" i="21"/>
  <c r="AN12" i="21"/>
  <c r="AN13" i="21"/>
  <c r="AN14" i="21"/>
  <c r="AN15" i="21"/>
  <c r="AN16" i="21"/>
  <c r="AN17" i="21"/>
  <c r="AN18" i="21"/>
  <c r="AN19" i="21"/>
  <c r="AN20" i="21"/>
  <c r="AN21" i="21"/>
  <c r="AN22" i="21"/>
  <c r="AN23" i="21"/>
  <c r="AN24" i="21"/>
  <c r="AN25" i="21"/>
  <c r="AN26" i="21"/>
  <c r="AN27" i="21"/>
  <c r="AN28" i="21"/>
  <c r="AN29" i="21"/>
  <c r="AN30" i="21"/>
  <c r="AN31" i="21"/>
  <c r="AN32" i="21"/>
  <c r="AN33" i="21"/>
  <c r="AN34" i="21"/>
  <c r="AN35" i="21"/>
  <c r="AN36" i="21"/>
  <c r="AN37" i="21"/>
  <c r="AN38" i="21"/>
  <c r="AN39" i="21"/>
  <c r="AN40" i="21"/>
  <c r="AN41" i="21"/>
  <c r="AN42" i="21"/>
  <c r="AN43" i="21"/>
  <c r="AN44" i="21"/>
  <c r="AN45" i="21"/>
  <c r="AN46" i="21"/>
  <c r="AN47" i="21"/>
  <c r="AN48" i="21"/>
  <c r="AN49" i="21"/>
  <c r="AN50" i="21"/>
  <c r="AN51" i="21"/>
  <c r="AN52" i="21"/>
  <c r="AN53" i="21"/>
  <c r="AN54" i="21"/>
  <c r="AN55" i="21"/>
  <c r="AN56" i="21"/>
  <c r="AN57" i="21"/>
  <c r="AN8" i="21"/>
  <c r="AG9" i="21"/>
  <c r="AG10" i="21"/>
  <c r="AG11" i="21"/>
  <c r="AG12" i="21"/>
  <c r="AG13" i="21"/>
  <c r="AG14" i="21"/>
  <c r="AG15" i="21"/>
  <c r="AG16" i="21"/>
  <c r="AG17" i="21"/>
  <c r="AG18" i="21"/>
  <c r="AG19" i="21"/>
  <c r="AG20" i="21"/>
  <c r="AG21" i="21"/>
  <c r="AG22" i="21"/>
  <c r="AG23" i="21"/>
  <c r="AG24" i="21"/>
  <c r="AG25" i="21"/>
  <c r="AG26" i="21"/>
  <c r="AG27" i="21"/>
  <c r="AG28" i="21"/>
  <c r="AG29" i="21"/>
  <c r="AG30" i="21"/>
  <c r="AG31" i="21"/>
  <c r="AG32" i="21"/>
  <c r="AG33" i="21"/>
  <c r="AG34" i="21"/>
  <c r="AG35" i="21"/>
  <c r="AG36" i="21"/>
  <c r="AG37" i="21"/>
  <c r="AG38" i="21"/>
  <c r="AG39" i="21"/>
  <c r="AG40" i="21"/>
  <c r="AG41" i="21"/>
  <c r="AG42" i="21"/>
  <c r="AG43" i="21"/>
  <c r="AG44" i="21"/>
  <c r="AG45" i="21"/>
  <c r="AG46" i="21"/>
  <c r="AG47" i="21"/>
  <c r="AG48" i="21"/>
  <c r="AG49" i="21"/>
  <c r="AG50" i="21"/>
  <c r="AG51" i="21"/>
  <c r="AG52" i="21"/>
  <c r="AG53" i="21"/>
  <c r="AG54" i="21"/>
  <c r="AG55" i="21"/>
  <c r="AG56" i="21"/>
  <c r="AG57" i="21"/>
  <c r="AG8" i="21"/>
  <c r="UX13" i="2"/>
  <c r="UW13" i="2"/>
  <c r="UV13" i="2"/>
  <c r="EW10" i="5"/>
  <c r="EX10" i="5"/>
  <c r="EW11" i="5"/>
  <c r="EX11" i="5"/>
  <c r="EW12" i="5"/>
  <c r="EX12" i="5"/>
  <c r="EW13" i="5"/>
  <c r="EX13" i="5"/>
  <c r="EW14" i="5"/>
  <c r="EX14" i="5"/>
  <c r="EW15" i="5"/>
  <c r="EX15" i="5"/>
  <c r="EW16" i="5"/>
  <c r="EX16" i="5"/>
  <c r="EW17" i="5"/>
  <c r="EX17" i="5"/>
  <c r="EW18" i="5"/>
  <c r="EX18" i="5"/>
  <c r="EW19" i="5"/>
  <c r="EX19" i="5"/>
  <c r="EW20" i="5"/>
  <c r="EX20" i="5"/>
  <c r="EW21" i="5"/>
  <c r="EY21" i="5" s="1"/>
  <c r="EZ21" i="5" s="1"/>
  <c r="EX21" i="5"/>
  <c r="EW22" i="5"/>
  <c r="EX22" i="5"/>
  <c r="EW23" i="5"/>
  <c r="EX23" i="5"/>
  <c r="EX9" i="5"/>
  <c r="EW9" i="5"/>
  <c r="BK9" i="8"/>
  <c r="BK10" i="8"/>
  <c r="BK11" i="8"/>
  <c r="BK12" i="8"/>
  <c r="BK13" i="8"/>
  <c r="BK14" i="8"/>
  <c r="BK15" i="8"/>
  <c r="BK16" i="8"/>
  <c r="BK17" i="8"/>
  <c r="BK18" i="8"/>
  <c r="BK19" i="8"/>
  <c r="BK20" i="8"/>
  <c r="BK21" i="8"/>
  <c r="BK22" i="8"/>
  <c r="BK23" i="8"/>
  <c r="BK24" i="8"/>
  <c r="BK25" i="8"/>
  <c r="BK26" i="8"/>
  <c r="BK27" i="8"/>
  <c r="BK28" i="8"/>
  <c r="BK29" i="8"/>
  <c r="BK30" i="8"/>
  <c r="BK31" i="8"/>
  <c r="BK32" i="8"/>
  <c r="BK33" i="8"/>
  <c r="BK34" i="8"/>
  <c r="BK35" i="8"/>
  <c r="BK36" i="8"/>
  <c r="BK37" i="8"/>
  <c r="BK38" i="8"/>
  <c r="BK39" i="8"/>
  <c r="BK40" i="8"/>
  <c r="BK41" i="8"/>
  <c r="BK42" i="8"/>
  <c r="BK43" i="8"/>
  <c r="BK44" i="8"/>
  <c r="BK45" i="8"/>
  <c r="BK46" i="8"/>
  <c r="BK47" i="8"/>
  <c r="BK48" i="8"/>
  <c r="BK49" i="8"/>
  <c r="BK50" i="8"/>
  <c r="BK51" i="8"/>
  <c r="BK52" i="8"/>
  <c r="BK53" i="8"/>
  <c r="BK54" i="8"/>
  <c r="BK55" i="8"/>
  <c r="BK56" i="8"/>
  <c r="BK57" i="8"/>
  <c r="BJ9" i="8"/>
  <c r="BJ10" i="8"/>
  <c r="BJ11" i="8"/>
  <c r="BJ12" i="8"/>
  <c r="BJ13" i="8"/>
  <c r="BJ14" i="8"/>
  <c r="BJ15" i="8"/>
  <c r="BJ16" i="8"/>
  <c r="BJ17" i="8"/>
  <c r="BJ18" i="8"/>
  <c r="BJ19" i="8"/>
  <c r="BJ20" i="8"/>
  <c r="BJ21" i="8"/>
  <c r="BJ22" i="8"/>
  <c r="BJ23" i="8"/>
  <c r="BJ24" i="8"/>
  <c r="BJ25" i="8"/>
  <c r="BJ26" i="8"/>
  <c r="BJ27" i="8"/>
  <c r="BJ28" i="8"/>
  <c r="BJ29" i="8"/>
  <c r="BJ30" i="8"/>
  <c r="BJ31" i="8"/>
  <c r="BJ32" i="8"/>
  <c r="BJ33" i="8"/>
  <c r="BJ34" i="8"/>
  <c r="BJ35" i="8"/>
  <c r="BJ36" i="8"/>
  <c r="BJ37" i="8"/>
  <c r="BJ38" i="8"/>
  <c r="BJ39" i="8"/>
  <c r="BJ40" i="8"/>
  <c r="BJ41" i="8"/>
  <c r="BJ42" i="8"/>
  <c r="BJ43" i="8"/>
  <c r="BJ44" i="8"/>
  <c r="BJ45" i="8"/>
  <c r="BJ46" i="8"/>
  <c r="BJ47" i="8"/>
  <c r="BJ48" i="8"/>
  <c r="BJ49" i="8"/>
  <c r="BJ50" i="8"/>
  <c r="BJ51" i="8"/>
  <c r="BJ52" i="8"/>
  <c r="BJ53" i="8"/>
  <c r="BJ54" i="8"/>
  <c r="BJ55" i="8"/>
  <c r="BJ56" i="8"/>
  <c r="BJ57" i="8"/>
  <c r="BK8" i="8"/>
  <c r="BJ8" i="8"/>
  <c r="YL15" i="2"/>
  <c r="YL13" i="2"/>
  <c r="YL12" i="2"/>
  <c r="YL11" i="2"/>
  <c r="YL9" i="2"/>
  <c r="YL8" i="2"/>
  <c r="YL5" i="2"/>
  <c r="YL4" i="2"/>
  <c r="YL2" i="2"/>
  <c r="YL3" i="2"/>
  <c r="YM15" i="2"/>
  <c r="YM14" i="2"/>
  <c r="YM13" i="2"/>
  <c r="YM12" i="2"/>
  <c r="YM11" i="2"/>
  <c r="YM10" i="2"/>
  <c r="YM9" i="2"/>
  <c r="YM8" i="2"/>
  <c r="YM7" i="2"/>
  <c r="YM6" i="2"/>
  <c r="YM5" i="2"/>
  <c r="YM4" i="2"/>
  <c r="YM3" i="2"/>
  <c r="YM2" i="2"/>
  <c r="YL10" i="2"/>
  <c r="AL9" i="21"/>
  <c r="AL10" i="21"/>
  <c r="AL11" i="21"/>
  <c r="AL12" i="21"/>
  <c r="AL13" i="21"/>
  <c r="AL14" i="21"/>
  <c r="AL15" i="21"/>
  <c r="AL16" i="21"/>
  <c r="AL17" i="21"/>
  <c r="AL18" i="21"/>
  <c r="AL19" i="21"/>
  <c r="AL20" i="21"/>
  <c r="AL21" i="21"/>
  <c r="AL22" i="21"/>
  <c r="AL23" i="21"/>
  <c r="AL24" i="21"/>
  <c r="AL25" i="21"/>
  <c r="AL26" i="21"/>
  <c r="AL27" i="21"/>
  <c r="AL28" i="21"/>
  <c r="AL29" i="21"/>
  <c r="AL30" i="21"/>
  <c r="AL31" i="21"/>
  <c r="AL32" i="21"/>
  <c r="AL33" i="21"/>
  <c r="AL34" i="21"/>
  <c r="AL35" i="21"/>
  <c r="AL36" i="21"/>
  <c r="AL37" i="21"/>
  <c r="AL38" i="21"/>
  <c r="AL39" i="21"/>
  <c r="AL40" i="21"/>
  <c r="AL41" i="21"/>
  <c r="AL42" i="21"/>
  <c r="AL43" i="21"/>
  <c r="AL44" i="21"/>
  <c r="AL45" i="21"/>
  <c r="AL46" i="21"/>
  <c r="AL47" i="21"/>
  <c r="AL48" i="21"/>
  <c r="AL49" i="21"/>
  <c r="AL50" i="21"/>
  <c r="AL51" i="21"/>
  <c r="AL52" i="21"/>
  <c r="AL53" i="21"/>
  <c r="AL54" i="21"/>
  <c r="AL55" i="21"/>
  <c r="AL56" i="21"/>
  <c r="AL57" i="21"/>
  <c r="AL8" i="21"/>
  <c r="XI4" i="2"/>
  <c r="XI3" i="2"/>
  <c r="XI2" i="2"/>
  <c r="TJ4" i="2"/>
  <c r="TJ3" i="2"/>
  <c r="TJ2" i="2"/>
  <c r="AC9" i="21"/>
  <c r="AC10" i="21"/>
  <c r="AC11" i="21"/>
  <c r="AC12" i="21"/>
  <c r="AC13" i="21"/>
  <c r="AC14" i="21"/>
  <c r="AC15" i="21"/>
  <c r="AC16" i="21"/>
  <c r="AC17" i="21"/>
  <c r="AC18" i="21"/>
  <c r="AC19" i="21"/>
  <c r="AC20" i="21"/>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55" i="21"/>
  <c r="AC56" i="21"/>
  <c r="AC57" i="21"/>
  <c r="AC8" i="21"/>
  <c r="TK4" i="2"/>
  <c r="TK3" i="2"/>
  <c r="TK2" i="2"/>
  <c r="D20" i="18"/>
  <c r="D19" i="18"/>
  <c r="XG4" i="2"/>
  <c r="XF4" i="2"/>
  <c r="XE4" i="2"/>
  <c r="XD4" i="2"/>
  <c r="XC4" i="2"/>
  <c r="XB4" i="2"/>
  <c r="XG3" i="2"/>
  <c r="XF3" i="2"/>
  <c r="XE3" i="2"/>
  <c r="XD3" i="2"/>
  <c r="XC3" i="2"/>
  <c r="XB3" i="2"/>
  <c r="XG2" i="2"/>
  <c r="XF2" i="2"/>
  <c r="XE2" i="2"/>
  <c r="XD2" i="2"/>
  <c r="XC2" i="2"/>
  <c r="XB2" i="2"/>
  <c r="XA4" i="2"/>
  <c r="XA3" i="2"/>
  <c r="XA2" i="2"/>
  <c r="WZ4" i="2"/>
  <c r="WZ3" i="2"/>
  <c r="WZ2" i="2"/>
  <c r="AK9" i="21"/>
  <c r="AK10" i="21"/>
  <c r="AK11" i="21"/>
  <c r="AK12" i="21"/>
  <c r="AK13" i="21"/>
  <c r="AK14" i="21"/>
  <c r="AK15" i="21"/>
  <c r="AK16" i="21"/>
  <c r="AK17" i="21"/>
  <c r="AK18" i="21"/>
  <c r="AK19" i="21"/>
  <c r="AK20" i="21"/>
  <c r="AK21" i="21"/>
  <c r="AK22" i="21"/>
  <c r="AK23" i="21"/>
  <c r="AK24" i="21"/>
  <c r="AK25" i="21"/>
  <c r="AK26" i="21"/>
  <c r="AK27" i="21"/>
  <c r="AK28" i="21"/>
  <c r="AK29" i="21"/>
  <c r="AK30" i="21"/>
  <c r="AK31" i="21"/>
  <c r="AK32" i="21"/>
  <c r="AK33" i="21"/>
  <c r="AK34" i="21"/>
  <c r="AK35" i="21"/>
  <c r="AK36" i="21"/>
  <c r="AK37" i="21"/>
  <c r="AK38" i="21"/>
  <c r="AK39" i="21"/>
  <c r="AK40" i="21"/>
  <c r="AK41" i="21"/>
  <c r="AK42" i="21"/>
  <c r="AK43" i="21"/>
  <c r="AK44" i="21"/>
  <c r="AK45" i="21"/>
  <c r="AK46" i="21"/>
  <c r="AK47" i="21"/>
  <c r="AK48" i="21"/>
  <c r="AK49" i="21"/>
  <c r="AK50" i="21"/>
  <c r="AK51" i="21"/>
  <c r="AK52" i="21"/>
  <c r="AK53" i="21"/>
  <c r="AK54" i="21"/>
  <c r="AK55" i="21"/>
  <c r="AK56" i="21"/>
  <c r="AK57" i="21"/>
  <c r="AK8" i="21"/>
  <c r="AB8" i="21"/>
  <c r="XH4" i="2"/>
  <c r="XH3" i="2"/>
  <c r="XH2" i="2"/>
  <c r="TJ12" i="2"/>
  <c r="TJ11" i="2"/>
  <c r="TJ10" i="2"/>
  <c r="TI3" i="2"/>
  <c r="TI2" i="2"/>
  <c r="TH3" i="2"/>
  <c r="TH2" i="2"/>
  <c r="TG3" i="2"/>
  <c r="TG2" i="2"/>
  <c r="TF2" i="2"/>
  <c r="TF3" i="2"/>
  <c r="TE3" i="2"/>
  <c r="AB9" i="21"/>
  <c r="AB10" i="21"/>
  <c r="AB11" i="21"/>
  <c r="AB12" i="21"/>
  <c r="AB13" i="21"/>
  <c r="AB14" i="21"/>
  <c r="AB15" i="21"/>
  <c r="AB16" i="21"/>
  <c r="AB17" i="21"/>
  <c r="AB18" i="21"/>
  <c r="AB19" i="21"/>
  <c r="AB20" i="21"/>
  <c r="AB21" i="21"/>
  <c r="AB22" i="21"/>
  <c r="AB23" i="21"/>
  <c r="AB24" i="21"/>
  <c r="AB25" i="21"/>
  <c r="AB26" i="21"/>
  <c r="AB27" i="21"/>
  <c r="AB28" i="21"/>
  <c r="AB29" i="21"/>
  <c r="AB30" i="21"/>
  <c r="AB31" i="21"/>
  <c r="AB32" i="21"/>
  <c r="AB33" i="21"/>
  <c r="AB34" i="21"/>
  <c r="AB35" i="21"/>
  <c r="AB36" i="21"/>
  <c r="AB37" i="21"/>
  <c r="AB38" i="21"/>
  <c r="AB39" i="21"/>
  <c r="AB40" i="21"/>
  <c r="AB41" i="21"/>
  <c r="AB42" i="21"/>
  <c r="AB43" i="21"/>
  <c r="AB44" i="21"/>
  <c r="AB45" i="21"/>
  <c r="AB46" i="21"/>
  <c r="AB47" i="21"/>
  <c r="AB48" i="21"/>
  <c r="AB49" i="21"/>
  <c r="AB50" i="21"/>
  <c r="AB51" i="21"/>
  <c r="AB52" i="21"/>
  <c r="AB53" i="21"/>
  <c r="AB54" i="21"/>
  <c r="AB55" i="21"/>
  <c r="AB56" i="21"/>
  <c r="AB57" i="21"/>
  <c r="AH9" i="21"/>
  <c r="AH10" i="21"/>
  <c r="AH11" i="21"/>
  <c r="AH12" i="21"/>
  <c r="AH13" i="21"/>
  <c r="AH14" i="21"/>
  <c r="AH15" i="21"/>
  <c r="AH16" i="21"/>
  <c r="AH17" i="21"/>
  <c r="AH18" i="21"/>
  <c r="AH19" i="21"/>
  <c r="AH20" i="21"/>
  <c r="AH21" i="21"/>
  <c r="AH22" i="21"/>
  <c r="AH23" i="21"/>
  <c r="AH24" i="21"/>
  <c r="AH25" i="21"/>
  <c r="AH26" i="21"/>
  <c r="AH27" i="21"/>
  <c r="AH28" i="21"/>
  <c r="AH29" i="21"/>
  <c r="AH30" i="21"/>
  <c r="AH31" i="21"/>
  <c r="AH32" i="21"/>
  <c r="AH33" i="21"/>
  <c r="AH34" i="21"/>
  <c r="AH35" i="21"/>
  <c r="AH36" i="21"/>
  <c r="AH37" i="21"/>
  <c r="AH38" i="21"/>
  <c r="AH39" i="21"/>
  <c r="AH40" i="21"/>
  <c r="AH41" i="21"/>
  <c r="AH42" i="21"/>
  <c r="AH43" i="21"/>
  <c r="AH44" i="21"/>
  <c r="AH45" i="21"/>
  <c r="AH46" i="21"/>
  <c r="AH47" i="21"/>
  <c r="AH48" i="21"/>
  <c r="AH49" i="21"/>
  <c r="AH50" i="21"/>
  <c r="AH51" i="21"/>
  <c r="AH52" i="21"/>
  <c r="AH53" i="21"/>
  <c r="AH54" i="21"/>
  <c r="AH55" i="21"/>
  <c r="AH56" i="21"/>
  <c r="AH57" i="21"/>
  <c r="UX12" i="2"/>
  <c r="UX11" i="2"/>
  <c r="UX10" i="2"/>
  <c r="UX9" i="2"/>
  <c r="UX8" i="2"/>
  <c r="UX7" i="2"/>
  <c r="UX6" i="2"/>
  <c r="UX5" i="2"/>
  <c r="UX4" i="2"/>
  <c r="UX3" i="2"/>
  <c r="UX2" i="2"/>
  <c r="UW12" i="2"/>
  <c r="UW11" i="2"/>
  <c r="UW10" i="2"/>
  <c r="UW9" i="2"/>
  <c r="UW8" i="2"/>
  <c r="UW7" i="2"/>
  <c r="UW6" i="2"/>
  <c r="UW5" i="2"/>
  <c r="UW4" i="2"/>
  <c r="UW3" i="2"/>
  <c r="UW2" i="2"/>
  <c r="UV12" i="2"/>
  <c r="UV11" i="2"/>
  <c r="UV10" i="2"/>
  <c r="UV9" i="2"/>
  <c r="UV8" i="2"/>
  <c r="UV7" i="2"/>
  <c r="UV6" i="2"/>
  <c r="UV5" i="2"/>
  <c r="UV4" i="2"/>
  <c r="AH8" i="21"/>
  <c r="UV3" i="2"/>
  <c r="UV2" i="2"/>
  <c r="TD3" i="2"/>
  <c r="TC4" i="2"/>
  <c r="TC3" i="2"/>
  <c r="TB4" i="2"/>
  <c r="TB3" i="2"/>
  <c r="TC2" i="2"/>
  <c r="TB2" i="2"/>
  <c r="R9" i="21"/>
  <c r="R10" i="21"/>
  <c r="AP10" i="21"/>
  <c r="AQ10" i="21" s="1"/>
  <c r="AR10" i="21" s="1"/>
  <c r="Q10" i="21" s="1"/>
  <c r="R11" i="21"/>
  <c r="AP11" i="21" s="1"/>
  <c r="AQ11" i="21"/>
  <c r="AR11" i="21" s="1"/>
  <c r="Q11" i="21" s="1"/>
  <c r="R12" i="21"/>
  <c r="AP12" i="21"/>
  <c r="AQ12" i="21" s="1"/>
  <c r="AR12" i="21" s="1"/>
  <c r="Q12" i="21" s="1"/>
  <c r="R13" i="21"/>
  <c r="AP13" i="21" s="1"/>
  <c r="AQ13" i="21" s="1"/>
  <c r="AR13" i="21" s="1"/>
  <c r="Q13" i="21" s="1"/>
  <c r="R14" i="21"/>
  <c r="AP14" i="21" s="1"/>
  <c r="AQ14" i="21" s="1"/>
  <c r="AR14" i="21" s="1"/>
  <c r="Q14" i="21" s="1"/>
  <c r="R15" i="21"/>
  <c r="AP15" i="21" s="1"/>
  <c r="AQ15" i="21" s="1"/>
  <c r="AR15" i="21" s="1"/>
  <c r="Q15" i="21" s="1"/>
  <c r="R16" i="21"/>
  <c r="AP16" i="21"/>
  <c r="AQ16" i="21" s="1"/>
  <c r="AR16" i="21" s="1"/>
  <c r="Q16" i="21" s="1"/>
  <c r="R17" i="21"/>
  <c r="AP17" i="21" s="1"/>
  <c r="R18" i="21"/>
  <c r="AP18" i="21" s="1"/>
  <c r="AQ18" i="21" s="1"/>
  <c r="AR18" i="21" s="1"/>
  <c r="Q18" i="21" s="1"/>
  <c r="R19" i="21"/>
  <c r="AP19" i="21"/>
  <c r="AQ19" i="21" s="1"/>
  <c r="AR19" i="21" s="1"/>
  <c r="Q19" i="21" s="1"/>
  <c r="R20" i="21"/>
  <c r="AP20" i="21" s="1"/>
  <c r="AQ20" i="21" s="1"/>
  <c r="AR20" i="21" s="1"/>
  <c r="Q20" i="21" s="1"/>
  <c r="R21" i="21"/>
  <c r="AP21" i="21"/>
  <c r="AQ21" i="21" s="1"/>
  <c r="AR21" i="21" s="1"/>
  <c r="Q21" i="21" s="1"/>
  <c r="R22" i="21"/>
  <c r="AP22" i="21" s="1"/>
  <c r="AQ22" i="21" s="1"/>
  <c r="AR22" i="21" s="1"/>
  <c r="Q22" i="21" s="1"/>
  <c r="R23" i="21"/>
  <c r="AP23" i="21" s="1"/>
  <c r="AQ23" i="21" s="1"/>
  <c r="AR23" i="21" s="1"/>
  <c r="Q23" i="21" s="1"/>
  <c r="R24" i="21"/>
  <c r="AP24" i="21" s="1"/>
  <c r="AQ24" i="21" s="1"/>
  <c r="AR24" i="21" s="1"/>
  <c r="Q24" i="21" s="1"/>
  <c r="R25" i="21"/>
  <c r="AP25" i="21" s="1"/>
  <c r="AQ25" i="21" s="1"/>
  <c r="AR25" i="21" s="1"/>
  <c r="Q25" i="21" s="1"/>
  <c r="R26" i="21"/>
  <c r="AP26" i="21" s="1"/>
  <c r="AQ26" i="21" s="1"/>
  <c r="AR26" i="21" s="1"/>
  <c r="Q26" i="21" s="1"/>
  <c r="R27" i="21"/>
  <c r="AP27" i="21" s="1"/>
  <c r="AQ27" i="21" s="1"/>
  <c r="AR27" i="21" s="1"/>
  <c r="Q27" i="21" s="1"/>
  <c r="R28" i="21"/>
  <c r="AP28" i="21" s="1"/>
  <c r="AQ28" i="21" s="1"/>
  <c r="AR28" i="21" s="1"/>
  <c r="Q28" i="21" s="1"/>
  <c r="R29" i="21"/>
  <c r="AP29" i="21" s="1"/>
  <c r="AQ29" i="21" s="1"/>
  <c r="AR29" i="21" s="1"/>
  <c r="Q29" i="21" s="1"/>
  <c r="R30" i="21"/>
  <c r="AP30" i="21" s="1"/>
  <c r="AQ30" i="21" s="1"/>
  <c r="AR30" i="21" s="1"/>
  <c r="Q30" i="21" s="1"/>
  <c r="R31" i="21"/>
  <c r="AP31" i="21" s="1"/>
  <c r="AQ31" i="21" s="1"/>
  <c r="AR31" i="21" s="1"/>
  <c r="Q31" i="21" s="1"/>
  <c r="R32" i="21"/>
  <c r="AP32" i="21" s="1"/>
  <c r="AQ32" i="21" s="1"/>
  <c r="AR32" i="21" s="1"/>
  <c r="Q32" i="21" s="1"/>
  <c r="R33" i="21"/>
  <c r="AP33" i="21" s="1"/>
  <c r="AQ33" i="21" s="1"/>
  <c r="AR33" i="21" s="1"/>
  <c r="Q33" i="21" s="1"/>
  <c r="R34" i="21"/>
  <c r="AP34" i="21" s="1"/>
  <c r="AQ34" i="21" s="1"/>
  <c r="AR34" i="21" s="1"/>
  <c r="Q34" i="21" s="1"/>
  <c r="R35" i="21"/>
  <c r="AP35" i="21"/>
  <c r="AQ35" i="21" s="1"/>
  <c r="AR35" i="21" s="1"/>
  <c r="Q35" i="21" s="1"/>
  <c r="R36" i="21"/>
  <c r="AP36" i="21" s="1"/>
  <c r="AQ36" i="21" s="1"/>
  <c r="AR36" i="21" s="1"/>
  <c r="Q36" i="21" s="1"/>
  <c r="R37" i="21"/>
  <c r="AP37" i="21" s="1"/>
  <c r="AQ37" i="21" s="1"/>
  <c r="AR37" i="21" s="1"/>
  <c r="Q37" i="21" s="1"/>
  <c r="R38" i="21"/>
  <c r="AP38" i="21" s="1"/>
  <c r="AQ38" i="21" s="1"/>
  <c r="AR38" i="21" s="1"/>
  <c r="Q38" i="21" s="1"/>
  <c r="R39" i="21"/>
  <c r="AP39" i="21" s="1"/>
  <c r="AQ39" i="21" s="1"/>
  <c r="AR39" i="21" s="1"/>
  <c r="Q39" i="21" s="1"/>
  <c r="R40" i="21"/>
  <c r="AP40" i="21" s="1"/>
  <c r="AQ40" i="21" s="1"/>
  <c r="AR40" i="21" s="1"/>
  <c r="Q40" i="21" s="1"/>
  <c r="R41" i="21"/>
  <c r="AP41" i="21" s="1"/>
  <c r="AQ41" i="21" s="1"/>
  <c r="AR41" i="21" s="1"/>
  <c r="Q41" i="21" s="1"/>
  <c r="R42" i="21"/>
  <c r="AP42" i="21" s="1"/>
  <c r="AQ42" i="21" s="1"/>
  <c r="AR42" i="21" s="1"/>
  <c r="Q42" i="21" s="1"/>
  <c r="R43" i="21"/>
  <c r="AP43" i="21" s="1"/>
  <c r="AQ43" i="21" s="1"/>
  <c r="AR43" i="21" s="1"/>
  <c r="Q43" i="21" s="1"/>
  <c r="R44" i="21"/>
  <c r="AP44" i="21" s="1"/>
  <c r="AQ44" i="21" s="1"/>
  <c r="AR44" i="21" s="1"/>
  <c r="Q44" i="21" s="1"/>
  <c r="R45" i="21"/>
  <c r="AP45" i="21"/>
  <c r="AQ45" i="21" s="1"/>
  <c r="AR45" i="21" s="1"/>
  <c r="Q45" i="21" s="1"/>
  <c r="R46" i="21"/>
  <c r="AP46" i="21" s="1"/>
  <c r="AQ46" i="21" s="1"/>
  <c r="AR46" i="21" s="1"/>
  <c r="Q46" i="21" s="1"/>
  <c r="R47" i="21"/>
  <c r="AP47" i="21"/>
  <c r="AQ47" i="21" s="1"/>
  <c r="AR47" i="21" s="1"/>
  <c r="Q47" i="21" s="1"/>
  <c r="R48" i="21"/>
  <c r="AP48" i="21" s="1"/>
  <c r="AQ48" i="21" s="1"/>
  <c r="AR48" i="21" s="1"/>
  <c r="Q48" i="21" s="1"/>
  <c r="R49" i="21"/>
  <c r="AP49" i="21" s="1"/>
  <c r="AQ49" i="21" s="1"/>
  <c r="AR49" i="21" s="1"/>
  <c r="Q49" i="21" s="1"/>
  <c r="R50" i="21"/>
  <c r="AP50" i="21" s="1"/>
  <c r="AQ50" i="21" s="1"/>
  <c r="AR50" i="21" s="1"/>
  <c r="Q50" i="21" s="1"/>
  <c r="R51" i="21"/>
  <c r="AP51" i="21" s="1"/>
  <c r="AQ51" i="21" s="1"/>
  <c r="AR51" i="21" s="1"/>
  <c r="Q51" i="21" s="1"/>
  <c r="R52" i="21"/>
  <c r="AP52" i="21" s="1"/>
  <c r="AQ52" i="21" s="1"/>
  <c r="AR52" i="21" s="1"/>
  <c r="Q52" i="21" s="1"/>
  <c r="R53" i="21"/>
  <c r="AP53" i="21" s="1"/>
  <c r="AQ53" i="21" s="1"/>
  <c r="AR53" i="21" s="1"/>
  <c r="Q53" i="21" s="1"/>
  <c r="R54" i="21"/>
  <c r="AP54" i="21" s="1"/>
  <c r="AQ54" i="21" s="1"/>
  <c r="AR54" i="21" s="1"/>
  <c r="Q54" i="21" s="1"/>
  <c r="R55" i="21"/>
  <c r="AP55" i="21" s="1"/>
  <c r="AQ55" i="21" s="1"/>
  <c r="AR55" i="21" s="1"/>
  <c r="Q55" i="21" s="1"/>
  <c r="R56" i="21"/>
  <c r="AP56" i="21" s="1"/>
  <c r="AQ56" i="21" s="1"/>
  <c r="AR56" i="21" s="1"/>
  <c r="Q56" i="21" s="1"/>
  <c r="R57" i="21"/>
  <c r="AP57" i="21" s="1"/>
  <c r="AQ57" i="21" s="1"/>
  <c r="AR57" i="21" s="1"/>
  <c r="Q57" i="21" s="1"/>
  <c r="R8" i="21"/>
  <c r="AP8" i="21" s="1"/>
  <c r="AQ8" i="21" s="1"/>
  <c r="AR8" i="21" s="1"/>
  <c r="Q8" i="21" s="1"/>
  <c r="AQ17" i="21"/>
  <c r="AR17" i="21" s="1"/>
  <c r="Q17" i="21" s="1"/>
  <c r="AP9" i="21"/>
  <c r="AQ9" i="21" s="1"/>
  <c r="AR9" i="21" s="1"/>
  <c r="Q9" i="21" s="1"/>
  <c r="Y57" i="21"/>
  <c r="Y56" i="21"/>
  <c r="Y55" i="21"/>
  <c r="Y54" i="21"/>
  <c r="Y53" i="21"/>
  <c r="Y52" i="21"/>
  <c r="Y51" i="21"/>
  <c r="Y50" i="21"/>
  <c r="Y49" i="21"/>
  <c r="Y48" i="21"/>
  <c r="Y47" i="21"/>
  <c r="Y46" i="21"/>
  <c r="Y45" i="21"/>
  <c r="Y44" i="21"/>
  <c r="Y43" i="21"/>
  <c r="Y42" i="21"/>
  <c r="Y41" i="21"/>
  <c r="Y40" i="21"/>
  <c r="Y39" i="21"/>
  <c r="Y38" i="21"/>
  <c r="Y37" i="21"/>
  <c r="Y36" i="21"/>
  <c r="Y35" i="21"/>
  <c r="Y34" i="21"/>
  <c r="Y33" i="21"/>
  <c r="Y32" i="21"/>
  <c r="Y31" i="21"/>
  <c r="Y30" i="21"/>
  <c r="Y29" i="21"/>
  <c r="Y28" i="21"/>
  <c r="Y27" i="21"/>
  <c r="Y26" i="21"/>
  <c r="Y25" i="21"/>
  <c r="Y24" i="21"/>
  <c r="Y23" i="21"/>
  <c r="Y22" i="21"/>
  <c r="Y21" i="21"/>
  <c r="Y20" i="21"/>
  <c r="Y19" i="21"/>
  <c r="Y18" i="21"/>
  <c r="Y17" i="21"/>
  <c r="Y16" i="21"/>
  <c r="Y15" i="21"/>
  <c r="Z14" i="21"/>
  <c r="Y14" i="21"/>
  <c r="Z13" i="21"/>
  <c r="Y13" i="21"/>
  <c r="Z12" i="21"/>
  <c r="Y12" i="21"/>
  <c r="Z11" i="21"/>
  <c r="Y11" i="21"/>
  <c r="Z10" i="21"/>
  <c r="Y10" i="21"/>
  <c r="Z9" i="21"/>
  <c r="Y9" i="21"/>
  <c r="AA8" i="21"/>
  <c r="Z8" i="21"/>
  <c r="Y8" i="21"/>
  <c r="I5" i="21"/>
  <c r="I4" i="21"/>
  <c r="I3" i="21"/>
  <c r="I2" i="21"/>
  <c r="I1" i="21"/>
  <c r="AD9" i="8"/>
  <c r="AF9" i="8" s="1"/>
  <c r="AD10" i="8"/>
  <c r="AD11" i="8"/>
  <c r="AC11" i="8" s="1"/>
  <c r="AD12" i="8"/>
  <c r="AF12" i="8" s="1"/>
  <c r="AD13" i="8"/>
  <c r="AC13" i="8" s="1"/>
  <c r="AD14" i="8"/>
  <c r="AF14" i="8" s="1"/>
  <c r="AD15" i="8"/>
  <c r="AC15" i="8" s="1"/>
  <c r="AD16" i="8"/>
  <c r="AF16" i="8" s="1"/>
  <c r="AD17" i="8"/>
  <c r="AF17" i="8" s="1"/>
  <c r="AD18" i="8"/>
  <c r="AF18" i="8" s="1"/>
  <c r="AD19" i="8"/>
  <c r="AC19" i="8" s="1"/>
  <c r="AD20" i="8"/>
  <c r="AF20" i="8" s="1"/>
  <c r="AD21" i="8"/>
  <c r="AF21" i="8" s="1"/>
  <c r="AD22" i="8"/>
  <c r="AC22" i="8" s="1"/>
  <c r="AD23" i="8"/>
  <c r="AC23" i="8" s="1"/>
  <c r="AD24" i="8"/>
  <c r="AF24" i="8" s="1"/>
  <c r="AD25" i="8"/>
  <c r="AF25" i="8" s="1"/>
  <c r="AD26" i="8"/>
  <c r="AF26" i="8" s="1"/>
  <c r="AD27" i="8"/>
  <c r="AC27" i="8" s="1"/>
  <c r="AD28" i="8"/>
  <c r="AF28" i="8" s="1"/>
  <c r="AD29" i="8"/>
  <c r="AC29" i="8" s="1"/>
  <c r="AD30" i="8"/>
  <c r="AF30" i="8" s="1"/>
  <c r="AD31" i="8"/>
  <c r="AC31" i="8" s="1"/>
  <c r="AD32" i="8"/>
  <c r="AC32" i="8" s="1"/>
  <c r="AD33" i="8"/>
  <c r="AF33" i="8" s="1"/>
  <c r="AD34" i="8"/>
  <c r="AF34" i="8" s="1"/>
  <c r="AD35" i="8"/>
  <c r="AC35" i="8" s="1"/>
  <c r="AD36" i="8"/>
  <c r="AF36" i="8" s="1"/>
  <c r="AD37" i="8"/>
  <c r="AF37" i="8" s="1"/>
  <c r="AD38" i="8"/>
  <c r="AC38" i="8" s="1"/>
  <c r="AD39" i="8"/>
  <c r="AC39" i="8" s="1"/>
  <c r="AD40" i="8"/>
  <c r="AC40" i="8" s="1"/>
  <c r="AD41" i="8"/>
  <c r="AF41" i="8" s="1"/>
  <c r="AD42" i="8"/>
  <c r="AC42" i="8" s="1"/>
  <c r="AD43" i="8"/>
  <c r="AC43" i="8" s="1"/>
  <c r="AD44" i="8"/>
  <c r="AD45" i="8"/>
  <c r="AC45" i="8" s="1"/>
  <c r="AD46" i="8"/>
  <c r="AF46" i="8" s="1"/>
  <c r="AD47" i="8"/>
  <c r="AC47" i="8" s="1"/>
  <c r="AD48" i="8"/>
  <c r="AF48" i="8" s="1"/>
  <c r="AD49" i="8"/>
  <c r="AF49" i="8" s="1"/>
  <c r="AD50" i="8"/>
  <c r="AF50" i="8" s="1"/>
  <c r="AD51" i="8"/>
  <c r="AC51" i="8" s="1"/>
  <c r="AD52" i="8"/>
  <c r="AC52" i="8" s="1"/>
  <c r="AD53" i="8"/>
  <c r="AF53" i="8" s="1"/>
  <c r="AD54" i="8"/>
  <c r="AC54" i="8" s="1"/>
  <c r="AD55" i="8"/>
  <c r="AC55" i="8" s="1"/>
  <c r="AD56" i="8"/>
  <c r="AF56" i="8" s="1"/>
  <c r="AD57" i="8"/>
  <c r="AF57" i="8" s="1"/>
  <c r="AD8" i="8"/>
  <c r="AC8" i="8" s="1"/>
  <c r="AO9" i="8"/>
  <c r="AO10" i="8"/>
  <c r="AO11" i="8"/>
  <c r="AO12" i="8"/>
  <c r="AO13" i="8"/>
  <c r="AO14" i="8"/>
  <c r="AO15" i="8"/>
  <c r="AO16" i="8"/>
  <c r="AO17" i="8"/>
  <c r="AO18" i="8"/>
  <c r="AO19" i="8"/>
  <c r="AO20" i="8"/>
  <c r="AO21" i="8"/>
  <c r="AO22" i="8"/>
  <c r="AO23" i="8"/>
  <c r="AO24" i="8"/>
  <c r="AO25" i="8"/>
  <c r="AO26" i="8"/>
  <c r="AO27" i="8"/>
  <c r="AO28" i="8"/>
  <c r="AO29" i="8"/>
  <c r="AO30" i="8"/>
  <c r="AO31" i="8"/>
  <c r="AO32" i="8"/>
  <c r="AO33" i="8"/>
  <c r="AO34" i="8"/>
  <c r="AO35" i="8"/>
  <c r="AO36" i="8"/>
  <c r="AO37" i="8"/>
  <c r="AO38" i="8"/>
  <c r="AO39" i="8"/>
  <c r="AO40" i="8"/>
  <c r="AO41" i="8"/>
  <c r="AO42" i="8"/>
  <c r="AO43" i="8"/>
  <c r="AO44" i="8"/>
  <c r="AO45" i="8"/>
  <c r="AO46" i="8"/>
  <c r="AO47" i="8"/>
  <c r="AO48" i="8"/>
  <c r="AO49" i="8"/>
  <c r="AO50" i="8"/>
  <c r="AO51" i="8"/>
  <c r="AO52" i="8"/>
  <c r="AO53" i="8"/>
  <c r="AO54" i="8"/>
  <c r="AO55" i="8"/>
  <c r="AO56" i="8"/>
  <c r="AO57" i="8"/>
  <c r="AO8" i="8"/>
  <c r="AM9" i="8"/>
  <c r="AM10" i="8"/>
  <c r="AM11" i="8"/>
  <c r="AM12" i="8"/>
  <c r="AM13" i="8"/>
  <c r="AM14" i="8"/>
  <c r="AM15" i="8"/>
  <c r="AM16" i="8"/>
  <c r="AM17" i="8"/>
  <c r="AM18" i="8"/>
  <c r="AM19" i="8"/>
  <c r="AM20" i="8"/>
  <c r="AM21" i="8"/>
  <c r="AM22" i="8"/>
  <c r="AM23" i="8"/>
  <c r="AM24" i="8"/>
  <c r="AM25" i="8"/>
  <c r="AM26" i="8"/>
  <c r="AM27" i="8"/>
  <c r="AM28" i="8"/>
  <c r="AM29" i="8"/>
  <c r="AM30" i="8"/>
  <c r="AM31" i="8"/>
  <c r="AM32" i="8"/>
  <c r="AM33" i="8"/>
  <c r="AM34" i="8"/>
  <c r="AM35" i="8"/>
  <c r="AM36" i="8"/>
  <c r="AM37" i="8"/>
  <c r="AM38" i="8"/>
  <c r="AM39" i="8"/>
  <c r="AM40" i="8"/>
  <c r="AM41" i="8"/>
  <c r="AM42" i="8"/>
  <c r="AM43" i="8"/>
  <c r="AM44" i="8"/>
  <c r="AM45" i="8"/>
  <c r="AM46" i="8"/>
  <c r="AM47" i="8"/>
  <c r="AM48" i="8"/>
  <c r="AM49" i="8"/>
  <c r="AM50" i="8"/>
  <c r="AM51" i="8"/>
  <c r="AM52" i="8"/>
  <c r="AM53" i="8"/>
  <c r="AM54" i="8"/>
  <c r="AM55" i="8"/>
  <c r="AM56" i="8"/>
  <c r="AM57" i="8"/>
  <c r="AM8" i="8"/>
  <c r="AG9" i="14"/>
  <c r="AG10" i="14"/>
  <c r="AG11" i="14"/>
  <c r="AG12" i="14"/>
  <c r="AG13" i="14"/>
  <c r="AG14" i="14"/>
  <c r="AG15" i="14"/>
  <c r="AG16" i="14"/>
  <c r="AG17" i="14"/>
  <c r="AG18" i="14"/>
  <c r="AG19" i="14"/>
  <c r="AG20" i="14"/>
  <c r="AG21" i="14"/>
  <c r="AG22" i="14"/>
  <c r="AG23" i="14"/>
  <c r="AG24" i="14"/>
  <c r="AG25" i="14"/>
  <c r="AG26" i="14"/>
  <c r="AG27" i="14"/>
  <c r="AG28" i="14"/>
  <c r="AG29" i="14"/>
  <c r="AG30" i="14"/>
  <c r="AG31" i="14"/>
  <c r="AG32" i="14"/>
  <c r="AG33" i="14"/>
  <c r="AG34" i="14"/>
  <c r="AG35" i="14"/>
  <c r="AG36" i="14"/>
  <c r="AG37" i="14"/>
  <c r="AG38" i="14"/>
  <c r="AG39" i="14"/>
  <c r="AG40" i="14"/>
  <c r="AG41" i="14"/>
  <c r="AG42" i="14"/>
  <c r="AG43" i="14"/>
  <c r="AG44" i="14"/>
  <c r="AG45" i="14"/>
  <c r="AG46" i="14"/>
  <c r="AG47" i="14"/>
  <c r="AG48" i="14"/>
  <c r="AG49" i="14"/>
  <c r="AG50" i="14"/>
  <c r="AG51" i="14"/>
  <c r="AG52" i="14"/>
  <c r="AG53" i="14"/>
  <c r="AG54" i="14"/>
  <c r="AG55" i="14"/>
  <c r="AG56" i="14"/>
  <c r="AG57" i="14"/>
  <c r="AG8" i="14"/>
  <c r="EG10" i="5"/>
  <c r="EH10" i="5" s="1"/>
  <c r="EI10" i="5" s="1"/>
  <c r="EG11" i="5"/>
  <c r="EH11" i="5" s="1"/>
  <c r="EI11" i="5" s="1"/>
  <c r="EG12" i="5"/>
  <c r="EH12" i="5" s="1"/>
  <c r="EI12" i="5" s="1"/>
  <c r="EG13" i="5"/>
  <c r="EH13" i="5" s="1"/>
  <c r="EI13" i="5"/>
  <c r="EG14" i="5"/>
  <c r="EH14" i="5" s="1"/>
  <c r="EG15" i="5"/>
  <c r="EH15" i="5" s="1"/>
  <c r="EG16" i="5"/>
  <c r="EH16" i="5" s="1"/>
  <c r="EG17" i="5"/>
  <c r="EH17" i="5" s="1"/>
  <c r="EI17" i="5"/>
  <c r="EG18" i="5"/>
  <c r="EH18" i="5" s="1"/>
  <c r="EI18" i="5"/>
  <c r="EG19" i="5"/>
  <c r="EH19" i="5" s="1"/>
  <c r="EG20" i="5"/>
  <c r="EH20" i="5" s="1"/>
  <c r="EG21" i="5"/>
  <c r="EH21" i="5" s="1"/>
  <c r="EG22" i="5"/>
  <c r="EH22" i="5" s="1"/>
  <c r="EG23" i="5"/>
  <c r="EH23" i="5" s="1"/>
  <c r="EG9" i="5"/>
  <c r="EH9" i="5" s="1"/>
  <c r="EI9" i="5" s="1"/>
  <c r="DQ158" i="2"/>
  <c r="AB9" i="15"/>
  <c r="AB10" i="15"/>
  <c r="AB11" i="15"/>
  <c r="AB12" i="15"/>
  <c r="AB13" i="15"/>
  <c r="AB14" i="15"/>
  <c r="AB15" i="15"/>
  <c r="AB16" i="15"/>
  <c r="AB17" i="15"/>
  <c r="AB18" i="15"/>
  <c r="AB19" i="15"/>
  <c r="AB20" i="15"/>
  <c r="AB21" i="15"/>
  <c r="AB22" i="15"/>
  <c r="AB23" i="15"/>
  <c r="AB24" i="15"/>
  <c r="AB25" i="15"/>
  <c r="AB26" i="15"/>
  <c r="AB27" i="15"/>
  <c r="AB8" i="15"/>
  <c r="EJ10" i="5"/>
  <c r="EJ11" i="5"/>
  <c r="EJ12" i="5"/>
  <c r="EJ13" i="5"/>
  <c r="EJ14" i="5"/>
  <c r="EJ15" i="5"/>
  <c r="EJ16" i="5"/>
  <c r="EJ17" i="5"/>
  <c r="EJ18" i="5"/>
  <c r="EJ19" i="5"/>
  <c r="EJ20" i="5"/>
  <c r="EJ21" i="5"/>
  <c r="EJ22" i="5"/>
  <c r="EJ23" i="5"/>
  <c r="EJ9" i="5"/>
  <c r="CQ10" i="5"/>
  <c r="CQ11" i="5"/>
  <c r="CQ12" i="5"/>
  <c r="CQ13" i="5"/>
  <c r="CQ14" i="5"/>
  <c r="CQ15" i="5"/>
  <c r="CQ16" i="5"/>
  <c r="CQ17" i="5"/>
  <c r="CQ18" i="5"/>
  <c r="CQ19" i="5"/>
  <c r="CQ20" i="5"/>
  <c r="CQ21" i="5"/>
  <c r="CQ22" i="5"/>
  <c r="CQ23" i="5"/>
  <c r="CQ9" i="5"/>
  <c r="DK10" i="5"/>
  <c r="DL10" i="5" s="1"/>
  <c r="DM10" i="5" s="1"/>
  <c r="DK12" i="5"/>
  <c r="DL12" i="5" s="1"/>
  <c r="DM12" i="5" s="1"/>
  <c r="DK13" i="5"/>
  <c r="DL13" i="5" s="1"/>
  <c r="DM13" i="5" s="1"/>
  <c r="DK14" i="5"/>
  <c r="DL14" i="5" s="1"/>
  <c r="DM14" i="5" s="1"/>
  <c r="DK15" i="5"/>
  <c r="DL15" i="5" s="1"/>
  <c r="DM15" i="5" s="1"/>
  <c r="DK16" i="5"/>
  <c r="DL16" i="5" s="1"/>
  <c r="DM16" i="5" s="1"/>
  <c r="DK17" i="5"/>
  <c r="DL17" i="5" s="1"/>
  <c r="DM17" i="5" s="1"/>
  <c r="DK18" i="5"/>
  <c r="DL18" i="5" s="1"/>
  <c r="DM18" i="5" s="1"/>
  <c r="DK19" i="5"/>
  <c r="DL19" i="5" s="1"/>
  <c r="DM19" i="5" s="1"/>
  <c r="DK20" i="5"/>
  <c r="DL20" i="5" s="1"/>
  <c r="DM20" i="5" s="1"/>
  <c r="DK21" i="5"/>
  <c r="DL21" i="5" s="1"/>
  <c r="DM21" i="5" s="1"/>
  <c r="DK22" i="5"/>
  <c r="DL22" i="5" s="1"/>
  <c r="DM22" i="5" s="1"/>
  <c r="DK23" i="5"/>
  <c r="DL23" i="5" s="1"/>
  <c r="DM23" i="5" s="1"/>
  <c r="CK10" i="5"/>
  <c r="CL10" i="5" s="1"/>
  <c r="CK11" i="5"/>
  <c r="CL11" i="5" s="1"/>
  <c r="CK12" i="5"/>
  <c r="CL12" i="5" s="1"/>
  <c r="CK13" i="5"/>
  <c r="CL13" i="5" s="1"/>
  <c r="CK14" i="5"/>
  <c r="CL14" i="5" s="1"/>
  <c r="CK15" i="5"/>
  <c r="CL15" i="5" s="1"/>
  <c r="CK16" i="5"/>
  <c r="CL16" i="5" s="1"/>
  <c r="CK17" i="5"/>
  <c r="CL17" i="5" s="1"/>
  <c r="CK18" i="5"/>
  <c r="CL18" i="5" s="1"/>
  <c r="CK19" i="5"/>
  <c r="CL19" i="5" s="1"/>
  <c r="CK20" i="5"/>
  <c r="CL20" i="5" s="1"/>
  <c r="CK21" i="5"/>
  <c r="CL21" i="5" s="1"/>
  <c r="CK22" i="5"/>
  <c r="CL22" i="5" s="1"/>
  <c r="CK23" i="5"/>
  <c r="CL23" i="5" s="1"/>
  <c r="CK9" i="5"/>
  <c r="CL9" i="5" s="1"/>
  <c r="DQ157" i="2"/>
  <c r="EI14" i="5"/>
  <c r="EI15" i="5"/>
  <c r="EI16" i="5"/>
  <c r="EI19" i="5"/>
  <c r="EI20" i="5"/>
  <c r="EI21" i="5"/>
  <c r="EI22" i="5"/>
  <c r="EI23" i="5"/>
  <c r="H7" i="20"/>
  <c r="H6" i="20"/>
  <c r="H5" i="20"/>
  <c r="H4" i="20"/>
  <c r="G7" i="19"/>
  <c r="G6" i="19"/>
  <c r="G5" i="19"/>
  <c r="G4" i="19"/>
  <c r="DQ5" i="2"/>
  <c r="DQ6" i="2"/>
  <c r="DQ7" i="2"/>
  <c r="DK11" i="5" s="1"/>
  <c r="DL11" i="5" s="1"/>
  <c r="DM11" i="5" s="1"/>
  <c r="DQ8" i="2"/>
  <c r="DQ9" i="2"/>
  <c r="DQ10" i="2"/>
  <c r="DQ11" i="2"/>
  <c r="DQ12" i="2"/>
  <c r="DQ13" i="2"/>
  <c r="DQ14" i="2"/>
  <c r="DQ15" i="2"/>
  <c r="DQ16" i="2"/>
  <c r="DQ17" i="2"/>
  <c r="DQ18" i="2"/>
  <c r="DQ19" i="2"/>
  <c r="DQ20" i="2"/>
  <c r="DQ21" i="2"/>
  <c r="DQ22" i="2"/>
  <c r="DQ23" i="2"/>
  <c r="DQ24" i="2"/>
  <c r="DQ25" i="2"/>
  <c r="DQ26" i="2"/>
  <c r="DQ27" i="2"/>
  <c r="DQ28" i="2"/>
  <c r="DQ29" i="2"/>
  <c r="DQ30" i="2"/>
  <c r="DQ31" i="2"/>
  <c r="DQ32" i="2"/>
  <c r="DQ33" i="2"/>
  <c r="DQ34" i="2"/>
  <c r="DQ35" i="2"/>
  <c r="DQ36" i="2"/>
  <c r="DQ37" i="2"/>
  <c r="DQ38" i="2"/>
  <c r="DQ39" i="2"/>
  <c r="DQ40" i="2"/>
  <c r="DQ41" i="2"/>
  <c r="DQ42" i="2"/>
  <c r="DQ43" i="2"/>
  <c r="DQ44" i="2"/>
  <c r="DQ45" i="2"/>
  <c r="DQ46" i="2"/>
  <c r="DQ47" i="2"/>
  <c r="DQ48" i="2"/>
  <c r="DQ49" i="2"/>
  <c r="DQ50" i="2"/>
  <c r="DQ51" i="2"/>
  <c r="DQ52" i="2"/>
  <c r="DQ53" i="2"/>
  <c r="DQ54" i="2"/>
  <c r="DQ55" i="2"/>
  <c r="DQ56" i="2"/>
  <c r="DQ57" i="2"/>
  <c r="DQ58" i="2"/>
  <c r="DQ59" i="2"/>
  <c r="DQ60" i="2"/>
  <c r="DQ61" i="2"/>
  <c r="DQ62" i="2"/>
  <c r="DQ63" i="2"/>
  <c r="DQ64" i="2"/>
  <c r="DQ65" i="2"/>
  <c r="DQ66" i="2"/>
  <c r="DQ67" i="2"/>
  <c r="DQ68" i="2"/>
  <c r="DQ69" i="2"/>
  <c r="DQ70" i="2"/>
  <c r="DQ71" i="2"/>
  <c r="DQ72" i="2"/>
  <c r="DQ73" i="2"/>
  <c r="DQ74" i="2"/>
  <c r="DQ75" i="2"/>
  <c r="DK9" i="5" s="1"/>
  <c r="DL9" i="5" s="1"/>
  <c r="DM9" i="5" s="1"/>
  <c r="DQ76" i="2"/>
  <c r="DQ77" i="2"/>
  <c r="DQ78" i="2"/>
  <c r="DQ79" i="2"/>
  <c r="DQ80" i="2"/>
  <c r="DQ81" i="2"/>
  <c r="DQ82" i="2"/>
  <c r="DQ83" i="2"/>
  <c r="DQ84" i="2"/>
  <c r="DQ85" i="2"/>
  <c r="DQ86" i="2"/>
  <c r="DQ87" i="2"/>
  <c r="DQ88" i="2"/>
  <c r="DQ89" i="2"/>
  <c r="DQ90" i="2"/>
  <c r="DQ91" i="2"/>
  <c r="DQ92" i="2"/>
  <c r="DQ93" i="2"/>
  <c r="DQ94" i="2"/>
  <c r="DQ95" i="2"/>
  <c r="DQ96" i="2"/>
  <c r="DQ97" i="2"/>
  <c r="DQ98" i="2"/>
  <c r="DQ99" i="2"/>
  <c r="DQ100" i="2"/>
  <c r="DQ101" i="2"/>
  <c r="DQ102" i="2"/>
  <c r="DQ103" i="2"/>
  <c r="DQ104" i="2"/>
  <c r="DQ105" i="2"/>
  <c r="DQ106" i="2"/>
  <c r="DQ107" i="2"/>
  <c r="DQ108" i="2"/>
  <c r="DQ109" i="2"/>
  <c r="DQ110" i="2"/>
  <c r="DQ111" i="2"/>
  <c r="DQ112" i="2"/>
  <c r="DQ113" i="2"/>
  <c r="DQ114" i="2"/>
  <c r="DQ115" i="2"/>
  <c r="DQ116" i="2"/>
  <c r="DQ117" i="2"/>
  <c r="DQ118" i="2"/>
  <c r="DQ119" i="2"/>
  <c r="DQ120" i="2"/>
  <c r="DQ121" i="2"/>
  <c r="DQ122" i="2"/>
  <c r="DQ123" i="2"/>
  <c r="DQ124" i="2"/>
  <c r="DQ125" i="2"/>
  <c r="DQ126" i="2"/>
  <c r="DQ127" i="2"/>
  <c r="DQ128" i="2"/>
  <c r="DQ129" i="2"/>
  <c r="DQ130" i="2"/>
  <c r="DQ131" i="2"/>
  <c r="DQ132" i="2"/>
  <c r="DQ133" i="2"/>
  <c r="DQ134" i="2"/>
  <c r="DQ136" i="2"/>
  <c r="DQ137" i="2"/>
  <c r="DQ138" i="2"/>
  <c r="DQ139" i="2"/>
  <c r="DQ140" i="2"/>
  <c r="DQ141" i="2"/>
  <c r="DQ142" i="2"/>
  <c r="DQ143" i="2"/>
  <c r="DQ144" i="2"/>
  <c r="DQ145" i="2"/>
  <c r="DQ146" i="2"/>
  <c r="DQ147" i="2"/>
  <c r="DQ148" i="2"/>
  <c r="DQ149" i="2"/>
  <c r="DQ150" i="2"/>
  <c r="DQ151" i="2"/>
  <c r="DQ152" i="2"/>
  <c r="DQ153" i="2"/>
  <c r="DQ154" i="2"/>
  <c r="DQ155" i="2"/>
  <c r="DQ156" i="2"/>
  <c r="EF10" i="5"/>
  <c r="AW10" i="5" s="1"/>
  <c r="EF11" i="5"/>
  <c r="AW11" i="5" s="1"/>
  <c r="EF12" i="5"/>
  <c r="AW12" i="5" s="1"/>
  <c r="EF13" i="5"/>
  <c r="AW13" i="5" s="1"/>
  <c r="EF14" i="5"/>
  <c r="AW14" i="5" s="1"/>
  <c r="EF15" i="5"/>
  <c r="AW15" i="5" s="1"/>
  <c r="EF16" i="5"/>
  <c r="AW16" i="5" s="1"/>
  <c r="EF17" i="5"/>
  <c r="AW17" i="5" s="1"/>
  <c r="EF18" i="5"/>
  <c r="AW18" i="5" s="1"/>
  <c r="EF19" i="5"/>
  <c r="AW19" i="5" s="1"/>
  <c r="EF20" i="5"/>
  <c r="AW20" i="5" s="1"/>
  <c r="EF21" i="5"/>
  <c r="AW21" i="5" s="1"/>
  <c r="EF22" i="5"/>
  <c r="AW22" i="5" s="1"/>
  <c r="EF23" i="5"/>
  <c r="AW23" i="5" s="1"/>
  <c r="EF9" i="5"/>
  <c r="AW9" i="5" s="1"/>
  <c r="DX10" i="5"/>
  <c r="DZ10" i="5" s="1"/>
  <c r="DX11" i="5"/>
  <c r="DZ11" i="5" s="1"/>
  <c r="DX12" i="5"/>
  <c r="DX13" i="5"/>
  <c r="DZ13" i="5" s="1"/>
  <c r="DX14" i="5"/>
  <c r="DX15" i="5"/>
  <c r="DX16" i="5"/>
  <c r="DX17" i="5"/>
  <c r="DX18" i="5"/>
  <c r="DX19" i="5"/>
  <c r="DX20" i="5"/>
  <c r="DX21" i="5"/>
  <c r="DX22" i="5"/>
  <c r="DX23" i="5"/>
  <c r="DX9" i="5"/>
  <c r="DZ9" i="5" s="1"/>
  <c r="AZ19" i="5"/>
  <c r="AZ20" i="5"/>
  <c r="AZ21" i="5"/>
  <c r="AZ22" i="5"/>
  <c r="AZ23" i="5"/>
  <c r="BV10" i="5"/>
  <c r="BV11" i="5"/>
  <c r="BV12" i="5"/>
  <c r="BV13" i="5"/>
  <c r="BV14" i="5"/>
  <c r="BV15" i="5"/>
  <c r="BV16" i="5"/>
  <c r="BV17" i="5"/>
  <c r="BV18" i="5"/>
  <c r="BV19" i="5"/>
  <c r="BV20" i="5"/>
  <c r="BV21" i="5"/>
  <c r="BV22" i="5"/>
  <c r="BV23" i="5"/>
  <c r="BV9" i="5"/>
  <c r="BW10" i="5"/>
  <c r="BW11" i="5"/>
  <c r="BW12" i="5"/>
  <c r="BW13" i="5"/>
  <c r="BW14" i="5"/>
  <c r="BW15" i="5"/>
  <c r="BW16" i="5"/>
  <c r="BW17" i="5"/>
  <c r="BW18" i="5"/>
  <c r="BW19" i="5"/>
  <c r="BW20" i="5"/>
  <c r="BW21" i="5"/>
  <c r="BW22" i="5"/>
  <c r="BW23" i="5"/>
  <c r="CG10" i="5"/>
  <c r="CG11" i="5"/>
  <c r="CG12" i="5"/>
  <c r="CG13" i="5"/>
  <c r="CG14" i="5"/>
  <c r="CG15" i="5"/>
  <c r="CG16" i="5"/>
  <c r="CG17" i="5"/>
  <c r="CG18" i="5"/>
  <c r="CG19" i="5"/>
  <c r="CG20" i="5"/>
  <c r="CG21" i="5"/>
  <c r="CG22" i="5"/>
  <c r="CG23" i="5"/>
  <c r="BW9" i="5"/>
  <c r="CG9" i="5"/>
  <c r="BJ27" i="2"/>
  <c r="BG10" i="5"/>
  <c r="BG11" i="5"/>
  <c r="BG12" i="5"/>
  <c r="BG13" i="5"/>
  <c r="BG14" i="5"/>
  <c r="BG15" i="5"/>
  <c r="BG16" i="5"/>
  <c r="BG17" i="5"/>
  <c r="BG18" i="5"/>
  <c r="BG19" i="5"/>
  <c r="BG20" i="5"/>
  <c r="BG21" i="5"/>
  <c r="BG22" i="5"/>
  <c r="BG23" i="5"/>
  <c r="BG9" i="5"/>
  <c r="AX10" i="5"/>
  <c r="AY10" i="5" s="1"/>
  <c r="AX11" i="5"/>
  <c r="AY11" i="5" s="1"/>
  <c r="AX12" i="5"/>
  <c r="AY12" i="5" s="1"/>
  <c r="AX13" i="5"/>
  <c r="AY13" i="5" s="1"/>
  <c r="AX14" i="5"/>
  <c r="AY14" i="5" s="1"/>
  <c r="AX15" i="5"/>
  <c r="AY15" i="5" s="1"/>
  <c r="AX16" i="5"/>
  <c r="AY16" i="5" s="1"/>
  <c r="AX17" i="5"/>
  <c r="AY17" i="5" s="1"/>
  <c r="AX18" i="5"/>
  <c r="AY18" i="5" s="1"/>
  <c r="AX19" i="5"/>
  <c r="AY19" i="5" s="1"/>
  <c r="AX20" i="5"/>
  <c r="AY20" i="5" s="1"/>
  <c r="AX21" i="5"/>
  <c r="AY21" i="5" s="1"/>
  <c r="AX22" i="5"/>
  <c r="AY22" i="5" s="1"/>
  <c r="AX23" i="5"/>
  <c r="AY23" i="5" s="1"/>
  <c r="AX9" i="5"/>
  <c r="AY9" i="5" s="1"/>
  <c r="BJ29" i="2"/>
  <c r="AZ13" i="5"/>
  <c r="BJ28" i="2"/>
  <c r="BJ26" i="2"/>
  <c r="BJ25" i="2"/>
  <c r="BJ24" i="2"/>
  <c r="AZ9" i="5" s="1"/>
  <c r="BM11" i="5"/>
  <c r="BN11" i="5"/>
  <c r="BO11" i="5"/>
  <c r="BM12" i="5"/>
  <c r="BN12" i="5"/>
  <c r="BO12" i="5"/>
  <c r="BM13" i="5"/>
  <c r="BN13" i="5"/>
  <c r="BO13" i="5"/>
  <c r="BM14" i="5"/>
  <c r="BN14" i="5"/>
  <c r="BO14" i="5"/>
  <c r="BM15" i="5"/>
  <c r="BN15" i="5"/>
  <c r="BO15" i="5"/>
  <c r="BM16" i="5"/>
  <c r="BN16" i="5"/>
  <c r="BO16" i="5"/>
  <c r="BM18" i="5"/>
  <c r="BN18" i="5"/>
  <c r="BO18" i="5"/>
  <c r="BM19" i="5"/>
  <c r="BN19" i="5"/>
  <c r="BO19" i="5"/>
  <c r="BM20" i="5"/>
  <c r="BN20" i="5"/>
  <c r="BO20" i="5"/>
  <c r="BM21" i="5"/>
  <c r="BN21" i="5"/>
  <c r="BO21" i="5"/>
  <c r="BM22" i="5"/>
  <c r="BN22" i="5"/>
  <c r="BO22" i="5"/>
  <c r="BM23" i="5"/>
  <c r="BN23" i="5"/>
  <c r="BO23" i="5"/>
  <c r="BM9" i="5"/>
  <c r="BN9" i="5"/>
  <c r="BO9" i="5"/>
  <c r="BL10" i="5"/>
  <c r="BL11" i="5"/>
  <c r="BL12" i="5"/>
  <c r="BL13" i="5"/>
  <c r="BL14" i="5"/>
  <c r="BL15" i="5"/>
  <c r="BR15" i="5"/>
  <c r="BL16" i="5"/>
  <c r="BL17" i="5"/>
  <c r="BL18" i="5"/>
  <c r="BL19" i="5"/>
  <c r="BL20" i="5"/>
  <c r="BL21" i="5"/>
  <c r="BL22" i="5"/>
  <c r="BL23" i="5"/>
  <c r="BL9" i="5"/>
  <c r="BZ10" i="5"/>
  <c r="BY10" i="5"/>
  <c r="DQ4" i="2"/>
  <c r="CJ10" i="5"/>
  <c r="CJ11" i="5"/>
  <c r="CJ12" i="5"/>
  <c r="CJ13" i="5"/>
  <c r="CJ14" i="5"/>
  <c r="CJ15" i="5"/>
  <c r="CJ16" i="5"/>
  <c r="CJ17" i="5"/>
  <c r="CJ18" i="5"/>
  <c r="CJ19" i="5"/>
  <c r="CJ20" i="5"/>
  <c r="CJ21" i="5"/>
  <c r="CJ22" i="5"/>
  <c r="CJ23" i="5"/>
  <c r="CJ9" i="5"/>
  <c r="BC18" i="5"/>
  <c r="BD18" i="5" s="1"/>
  <c r="BC22" i="5"/>
  <c r="BE22" i="5" s="1"/>
  <c r="BC23" i="5"/>
  <c r="BD23" i="5" s="1"/>
  <c r="EA10" i="5"/>
  <c r="EA11" i="5"/>
  <c r="EA12" i="5"/>
  <c r="EA13" i="5"/>
  <c r="EA14" i="5"/>
  <c r="EA15" i="5"/>
  <c r="EA16" i="5"/>
  <c r="EA17" i="5"/>
  <c r="EA18" i="5"/>
  <c r="EA19" i="5"/>
  <c r="EA20" i="5"/>
  <c r="EA21" i="5"/>
  <c r="EA22" i="5"/>
  <c r="EA23" i="5"/>
  <c r="EA9" i="5"/>
  <c r="CX10" i="5"/>
  <c r="DA10" i="5" s="1"/>
  <c r="CX11" i="5"/>
  <c r="DA11" i="5" s="1"/>
  <c r="CX12" i="5"/>
  <c r="DA12" i="5" s="1"/>
  <c r="CX13" i="5"/>
  <c r="CX14" i="5"/>
  <c r="CX15" i="5"/>
  <c r="CX16" i="5"/>
  <c r="CX17" i="5"/>
  <c r="CX18" i="5"/>
  <c r="CX19" i="5"/>
  <c r="CX20" i="5"/>
  <c r="CX21" i="5"/>
  <c r="CX22" i="5"/>
  <c r="CX23" i="5"/>
  <c r="CX9" i="5"/>
  <c r="DA9" i="5" s="1"/>
  <c r="BA9" i="8"/>
  <c r="BC9" i="8" s="1"/>
  <c r="BB9" i="8"/>
  <c r="BA10" i="8"/>
  <c r="BC10" i="8" s="1"/>
  <c r="BB10" i="8"/>
  <c r="BA11" i="8"/>
  <c r="BC11" i="8" s="1"/>
  <c r="BB11" i="8"/>
  <c r="BA12" i="8"/>
  <c r="BC12" i="8" s="1"/>
  <c r="BB12" i="8"/>
  <c r="BA13" i="8"/>
  <c r="BC13" i="8" s="1"/>
  <c r="BB13" i="8"/>
  <c r="BA14" i="8"/>
  <c r="BC14" i="8" s="1"/>
  <c r="BB14" i="8"/>
  <c r="BA15" i="8"/>
  <c r="BC15" i="8" s="1"/>
  <c r="BB15" i="8"/>
  <c r="BA16" i="8"/>
  <c r="BC16" i="8" s="1"/>
  <c r="BB16" i="8"/>
  <c r="BA17" i="8"/>
  <c r="BC17" i="8" s="1"/>
  <c r="BB17" i="8"/>
  <c r="BA18" i="8"/>
  <c r="BC18" i="8" s="1"/>
  <c r="BB18" i="8"/>
  <c r="BA19" i="8"/>
  <c r="BC19" i="8" s="1"/>
  <c r="BB19" i="8"/>
  <c r="BA20" i="8"/>
  <c r="BC20" i="8" s="1"/>
  <c r="BB20" i="8"/>
  <c r="BA21" i="8"/>
  <c r="BC21" i="8" s="1"/>
  <c r="BB21" i="8"/>
  <c r="BA22" i="8"/>
  <c r="BC22" i="8" s="1"/>
  <c r="BB22" i="8"/>
  <c r="BA23" i="8"/>
  <c r="BC23" i="8" s="1"/>
  <c r="BB23" i="8"/>
  <c r="BA24" i="8"/>
  <c r="BC24" i="8" s="1"/>
  <c r="BB24" i="8"/>
  <c r="BA25" i="8"/>
  <c r="BC25" i="8" s="1"/>
  <c r="BB25" i="8"/>
  <c r="BA26" i="8"/>
  <c r="BC26" i="8" s="1"/>
  <c r="BB26" i="8"/>
  <c r="BA27" i="8"/>
  <c r="BC27" i="8" s="1"/>
  <c r="BB27" i="8"/>
  <c r="BA28" i="8"/>
  <c r="BC28" i="8" s="1"/>
  <c r="BB28" i="8"/>
  <c r="BA29" i="8"/>
  <c r="BC29" i="8" s="1"/>
  <c r="BB29" i="8"/>
  <c r="BA30" i="8"/>
  <c r="BC30" i="8" s="1"/>
  <c r="BB30" i="8"/>
  <c r="BA31" i="8"/>
  <c r="BC31" i="8" s="1"/>
  <c r="BB31" i="8"/>
  <c r="BA32" i="8"/>
  <c r="BC32" i="8" s="1"/>
  <c r="BB32" i="8"/>
  <c r="BA33" i="8"/>
  <c r="BC33" i="8" s="1"/>
  <c r="BB33" i="8"/>
  <c r="BA34" i="8"/>
  <c r="BC34" i="8" s="1"/>
  <c r="BB34" i="8"/>
  <c r="BA35" i="8"/>
  <c r="BC35" i="8" s="1"/>
  <c r="BB35" i="8"/>
  <c r="BA36" i="8"/>
  <c r="BC36" i="8" s="1"/>
  <c r="BB36" i="8"/>
  <c r="BA37" i="8"/>
  <c r="BC37" i="8" s="1"/>
  <c r="BB37" i="8"/>
  <c r="BA38" i="8"/>
  <c r="BC38" i="8" s="1"/>
  <c r="BB38" i="8"/>
  <c r="BA39" i="8"/>
  <c r="BC39" i="8" s="1"/>
  <c r="BB39" i="8"/>
  <c r="BA40" i="8"/>
  <c r="BC40" i="8" s="1"/>
  <c r="BB40" i="8"/>
  <c r="BA41" i="8"/>
  <c r="BC41" i="8" s="1"/>
  <c r="BB41" i="8"/>
  <c r="BA42" i="8"/>
  <c r="BC42" i="8" s="1"/>
  <c r="BB42" i="8"/>
  <c r="BA43" i="8"/>
  <c r="BC43" i="8" s="1"/>
  <c r="BB43" i="8"/>
  <c r="BA44" i="8"/>
  <c r="BC44" i="8" s="1"/>
  <c r="BB44" i="8"/>
  <c r="BA45" i="8"/>
  <c r="BC45" i="8" s="1"/>
  <c r="BB45" i="8"/>
  <c r="BA46" i="8"/>
  <c r="BC46" i="8" s="1"/>
  <c r="BB46" i="8"/>
  <c r="BA47" i="8"/>
  <c r="BC47" i="8" s="1"/>
  <c r="BB47" i="8"/>
  <c r="BA48" i="8"/>
  <c r="BC48" i="8" s="1"/>
  <c r="BB48" i="8"/>
  <c r="BA49" i="8"/>
  <c r="BC49" i="8" s="1"/>
  <c r="BB49" i="8"/>
  <c r="BA50" i="8"/>
  <c r="BC50" i="8" s="1"/>
  <c r="BB50" i="8"/>
  <c r="BA51" i="8"/>
  <c r="BC51" i="8" s="1"/>
  <c r="BB51" i="8"/>
  <c r="BA52" i="8"/>
  <c r="BC52" i="8" s="1"/>
  <c r="BB52" i="8"/>
  <c r="BA53" i="8"/>
  <c r="BC53" i="8" s="1"/>
  <c r="BB53" i="8"/>
  <c r="BA54" i="8"/>
  <c r="BC54" i="8" s="1"/>
  <c r="BB54" i="8"/>
  <c r="BA55" i="8"/>
  <c r="BC55" i="8" s="1"/>
  <c r="BB55" i="8"/>
  <c r="BA56" i="8"/>
  <c r="BC56" i="8" s="1"/>
  <c r="BB56" i="8"/>
  <c r="BA57" i="8"/>
  <c r="BC57" i="8" s="1"/>
  <c r="BB57" i="8"/>
  <c r="AI9" i="8"/>
  <c r="AI10" i="8"/>
  <c r="AI11" i="8"/>
  <c r="AI12" i="8"/>
  <c r="AI13" i="8"/>
  <c r="AI14" i="8"/>
  <c r="AI15" i="8"/>
  <c r="AI16" i="8"/>
  <c r="AI17" i="8"/>
  <c r="AI18" i="8"/>
  <c r="AI19" i="8"/>
  <c r="AI20" i="8"/>
  <c r="AI21" i="8"/>
  <c r="AI22" i="8"/>
  <c r="AI23" i="8"/>
  <c r="AI24" i="8"/>
  <c r="AI25" i="8"/>
  <c r="AI26" i="8"/>
  <c r="AI27" i="8"/>
  <c r="AI28" i="8"/>
  <c r="AI29" i="8"/>
  <c r="AI30" i="8"/>
  <c r="AI31" i="8"/>
  <c r="AI32" i="8"/>
  <c r="AI33" i="8"/>
  <c r="AI34" i="8"/>
  <c r="AI35" i="8"/>
  <c r="AI36" i="8"/>
  <c r="AI37" i="8"/>
  <c r="AI38" i="8"/>
  <c r="AI39" i="8"/>
  <c r="AI40" i="8"/>
  <c r="AI41" i="8"/>
  <c r="AI42" i="8"/>
  <c r="AI43" i="8"/>
  <c r="AI44" i="8"/>
  <c r="AI45" i="8"/>
  <c r="AI46" i="8"/>
  <c r="AI47" i="8"/>
  <c r="AI48" i="8"/>
  <c r="AI49" i="8"/>
  <c r="AI50" i="8"/>
  <c r="AI51" i="8"/>
  <c r="AI52" i="8"/>
  <c r="AI53" i="8"/>
  <c r="AI54" i="8"/>
  <c r="AI55" i="8"/>
  <c r="AI56" i="8"/>
  <c r="AI57" i="8"/>
  <c r="BB8" i="8"/>
  <c r="BA8" i="8"/>
  <c r="BC8" i="8" s="1"/>
  <c r="AI8" i="8"/>
  <c r="AE14" i="15"/>
  <c r="AE13" i="15"/>
  <c r="AE12" i="15"/>
  <c r="AE11" i="15"/>
  <c r="AE10" i="15"/>
  <c r="AE9" i="15"/>
  <c r="AE8" i="15"/>
  <c r="AG14" i="8"/>
  <c r="AG13" i="8"/>
  <c r="AG12" i="8"/>
  <c r="AG11" i="8"/>
  <c r="AG10" i="8"/>
  <c r="AG9" i="8"/>
  <c r="AG8" i="8"/>
  <c r="AH8" i="8"/>
  <c r="AF8" i="15"/>
  <c r="AB14" i="14"/>
  <c r="AB13" i="14"/>
  <c r="AB12" i="14"/>
  <c r="AB11" i="14"/>
  <c r="AB10" i="14"/>
  <c r="AB9" i="14"/>
  <c r="AC8" i="14"/>
  <c r="AB8" i="14"/>
  <c r="AC8" i="13"/>
  <c r="AB14" i="13"/>
  <c r="AB12" i="13"/>
  <c r="AB11" i="13"/>
  <c r="AB10" i="13"/>
  <c r="AB9" i="13"/>
  <c r="AB13" i="13"/>
  <c r="AB8" i="13"/>
  <c r="DT10" i="5"/>
  <c r="DT11" i="5"/>
  <c r="DT12" i="5"/>
  <c r="DT13" i="5"/>
  <c r="DT14" i="5"/>
  <c r="DT15" i="5"/>
  <c r="DT16" i="5"/>
  <c r="DT17" i="5"/>
  <c r="DT18" i="5"/>
  <c r="DT19" i="5"/>
  <c r="DT20" i="5"/>
  <c r="DT21" i="5"/>
  <c r="DT22" i="5"/>
  <c r="DT23" i="5"/>
  <c r="DU10" i="5"/>
  <c r="DV10" i="5"/>
  <c r="DW10" i="5"/>
  <c r="DU11" i="5"/>
  <c r="DV11" i="5"/>
  <c r="DW11" i="5"/>
  <c r="DU12" i="5"/>
  <c r="DV12" i="5"/>
  <c r="DW12" i="5"/>
  <c r="DU13" i="5"/>
  <c r="DV13" i="5"/>
  <c r="DW13" i="5"/>
  <c r="DU14" i="5"/>
  <c r="DV14" i="5"/>
  <c r="DW14" i="5"/>
  <c r="DU15" i="5"/>
  <c r="DV15" i="5"/>
  <c r="DW15" i="5"/>
  <c r="DU16" i="5"/>
  <c r="DV16" i="5"/>
  <c r="DW16" i="5"/>
  <c r="DU17" i="5"/>
  <c r="DV17" i="5"/>
  <c r="DW17" i="5"/>
  <c r="DU18" i="5"/>
  <c r="DV18" i="5"/>
  <c r="DW18" i="5"/>
  <c r="DU19" i="5"/>
  <c r="DV19" i="5"/>
  <c r="DW19" i="5"/>
  <c r="DU20" i="5"/>
  <c r="DV20" i="5"/>
  <c r="DW20" i="5"/>
  <c r="DU21" i="5"/>
  <c r="DV21" i="5"/>
  <c r="DW21" i="5"/>
  <c r="DU22" i="5"/>
  <c r="DV22" i="5"/>
  <c r="DW22" i="5"/>
  <c r="DU23" i="5"/>
  <c r="DV23" i="5"/>
  <c r="DW23" i="5"/>
  <c r="DW9" i="5"/>
  <c r="DV9" i="5"/>
  <c r="DU9" i="5"/>
  <c r="DT9" i="5"/>
  <c r="DG10" i="5"/>
  <c r="DG11" i="5"/>
  <c r="DG12" i="5"/>
  <c r="DG13" i="5"/>
  <c r="DG14" i="5"/>
  <c r="DG15" i="5"/>
  <c r="DG16" i="5"/>
  <c r="DG17" i="5"/>
  <c r="DG18" i="5"/>
  <c r="DG19" i="5"/>
  <c r="DG20" i="5"/>
  <c r="DG21" i="5"/>
  <c r="DG22" i="5"/>
  <c r="DG23" i="5"/>
  <c r="DG9" i="5"/>
  <c r="DC10" i="5"/>
  <c r="DC11" i="5"/>
  <c r="DC12" i="5"/>
  <c r="DC13" i="5"/>
  <c r="DC14" i="5"/>
  <c r="DC15" i="5"/>
  <c r="DC16" i="5"/>
  <c r="DC17" i="5"/>
  <c r="DC18" i="5"/>
  <c r="DC19" i="5"/>
  <c r="DC20" i="5"/>
  <c r="DC21" i="5"/>
  <c r="DC22" i="5"/>
  <c r="DC23" i="5"/>
  <c r="DC9" i="5"/>
  <c r="DB10" i="5"/>
  <c r="DB11" i="5"/>
  <c r="DB12" i="5"/>
  <c r="DB13" i="5"/>
  <c r="DB14" i="5"/>
  <c r="DB15" i="5"/>
  <c r="DB16" i="5"/>
  <c r="DB17" i="5"/>
  <c r="DB18" i="5"/>
  <c r="DB19" i="5"/>
  <c r="DB20" i="5"/>
  <c r="DB21" i="5"/>
  <c r="DB22" i="5"/>
  <c r="DB23" i="5"/>
  <c r="CH10" i="5"/>
  <c r="CI10" i="5" s="1"/>
  <c r="CH11" i="5"/>
  <c r="CI11" i="5" s="1"/>
  <c r="CH12" i="5"/>
  <c r="CI12" i="5" s="1"/>
  <c r="CH13" i="5"/>
  <c r="CI13" i="5" s="1"/>
  <c r="CH14" i="5"/>
  <c r="CI14" i="5" s="1"/>
  <c r="CH15" i="5"/>
  <c r="CI15" i="5" s="1"/>
  <c r="CH16" i="5"/>
  <c r="CI16" i="5" s="1"/>
  <c r="CH17" i="5"/>
  <c r="CI17" i="5" s="1"/>
  <c r="CH18" i="5"/>
  <c r="CI18" i="5" s="1"/>
  <c r="CH19" i="5"/>
  <c r="CI19" i="5" s="1"/>
  <c r="CH20" i="5"/>
  <c r="CI20" i="5" s="1"/>
  <c r="CH21" i="5"/>
  <c r="CI21" i="5" s="1"/>
  <c r="CH22" i="5"/>
  <c r="CI22" i="5" s="1"/>
  <c r="CH23" i="5"/>
  <c r="CI23" i="5" s="1"/>
  <c r="DB9" i="5"/>
  <c r="CR23" i="5"/>
  <c r="CS23" i="5"/>
  <c r="CR20" i="5"/>
  <c r="CS20" i="5"/>
  <c r="CR21" i="5"/>
  <c r="CS21" i="5"/>
  <c r="CR22" i="5"/>
  <c r="CS22" i="5"/>
  <c r="CR10" i="5"/>
  <c r="CS10" i="5"/>
  <c r="CR11" i="5"/>
  <c r="CS11" i="5"/>
  <c r="CR12" i="5"/>
  <c r="CS12" i="5"/>
  <c r="CR13" i="5"/>
  <c r="CS13" i="5"/>
  <c r="CR14" i="5"/>
  <c r="CS14" i="5"/>
  <c r="CR15" i="5"/>
  <c r="CS15" i="5"/>
  <c r="CR16" i="5"/>
  <c r="CS16" i="5"/>
  <c r="CR17" i="5"/>
  <c r="CS17" i="5"/>
  <c r="CR18" i="5"/>
  <c r="CS18" i="5"/>
  <c r="CR19" i="5"/>
  <c r="CS19" i="5"/>
  <c r="CS9" i="5"/>
  <c r="CR9" i="5"/>
  <c r="CO9" i="5"/>
  <c r="CO10" i="5"/>
  <c r="CH9" i="5"/>
  <c r="CI9" i="5" s="1"/>
  <c r="BQ10" i="5"/>
  <c r="BQ11" i="5"/>
  <c r="BQ12" i="5"/>
  <c r="BQ13" i="5"/>
  <c r="BQ14" i="5"/>
  <c r="BQ15" i="5"/>
  <c r="BQ16" i="5"/>
  <c r="BQ17" i="5"/>
  <c r="BQ18" i="5"/>
  <c r="BQ19" i="5"/>
  <c r="BQ20" i="5"/>
  <c r="BQ21" i="5"/>
  <c r="BQ22" i="5"/>
  <c r="BQ23" i="5"/>
  <c r="BQ9" i="5"/>
  <c r="BZ23" i="5"/>
  <c r="BY23" i="5"/>
  <c r="BZ22" i="5"/>
  <c r="BY22" i="5"/>
  <c r="BZ21" i="5"/>
  <c r="BY21" i="5"/>
  <c r="BZ20" i="5"/>
  <c r="BY20" i="5"/>
  <c r="BZ19" i="5"/>
  <c r="BY19" i="5"/>
  <c r="BZ18" i="5"/>
  <c r="BY18" i="5"/>
  <c r="BZ17" i="5"/>
  <c r="BY17" i="5"/>
  <c r="BZ16" i="5"/>
  <c r="BY16" i="5"/>
  <c r="BZ15" i="5"/>
  <c r="BY15" i="5"/>
  <c r="BZ14" i="5"/>
  <c r="BY14" i="5"/>
  <c r="BZ13" i="5"/>
  <c r="BY13" i="5"/>
  <c r="BZ12" i="5"/>
  <c r="BY12" i="5"/>
  <c r="BZ11" i="5"/>
  <c r="BY11" i="5"/>
  <c r="BZ9" i="5"/>
  <c r="BY9" i="5"/>
  <c r="AV20" i="5"/>
  <c r="AV17" i="5"/>
  <c r="BP10" i="5"/>
  <c r="BP11" i="5"/>
  <c r="BP12" i="5"/>
  <c r="BP13" i="5"/>
  <c r="BP14" i="5"/>
  <c r="BP15" i="5"/>
  <c r="BP16" i="5"/>
  <c r="BP17" i="5"/>
  <c r="BP18" i="5"/>
  <c r="BP19" i="5"/>
  <c r="BP20" i="5"/>
  <c r="BP21" i="5"/>
  <c r="BP22" i="5"/>
  <c r="BP23" i="5"/>
  <c r="BP9" i="5"/>
  <c r="BT10" i="5"/>
  <c r="BT11" i="5"/>
  <c r="BT12" i="5"/>
  <c r="BT13" i="5"/>
  <c r="BT14" i="5"/>
  <c r="BT15" i="5"/>
  <c r="BT16" i="5"/>
  <c r="BT17" i="5"/>
  <c r="BT18" i="5"/>
  <c r="BT19" i="5"/>
  <c r="BT20" i="5"/>
  <c r="BT21" i="5"/>
  <c r="BT22" i="5"/>
  <c r="BT23" i="5"/>
  <c r="BM10" i="5"/>
  <c r="BN10" i="5"/>
  <c r="BO10" i="5"/>
  <c r="BM17" i="5"/>
  <c r="BN17" i="5"/>
  <c r="BO17" i="5"/>
  <c r="AZ9" i="15"/>
  <c r="BA9" i="15"/>
  <c r="AZ10" i="15"/>
  <c r="BA10" i="15"/>
  <c r="AZ11" i="15"/>
  <c r="BA11" i="15"/>
  <c r="AZ12" i="15"/>
  <c r="BA12" i="15"/>
  <c r="AZ13" i="15"/>
  <c r="BA13" i="15"/>
  <c r="AZ14" i="15"/>
  <c r="BA14" i="15"/>
  <c r="AZ15" i="15"/>
  <c r="BA15" i="15"/>
  <c r="AZ16" i="15"/>
  <c r="BA16" i="15"/>
  <c r="AZ17" i="15"/>
  <c r="BA17" i="15"/>
  <c r="AZ18" i="15"/>
  <c r="BA18" i="15"/>
  <c r="AZ19" i="15"/>
  <c r="BA19" i="15"/>
  <c r="AZ20" i="15"/>
  <c r="BA20" i="15"/>
  <c r="AZ21" i="15"/>
  <c r="BA21" i="15"/>
  <c r="AZ22" i="15"/>
  <c r="BA22" i="15"/>
  <c r="AZ23" i="15"/>
  <c r="BA23" i="15"/>
  <c r="AZ24" i="15"/>
  <c r="BA24" i="15"/>
  <c r="AZ25" i="15"/>
  <c r="BA25" i="15"/>
  <c r="AZ26" i="15"/>
  <c r="BA26" i="15"/>
  <c r="AZ27" i="15"/>
  <c r="BA27" i="15"/>
  <c r="BA8" i="15"/>
  <c r="BT9" i="5"/>
  <c r="BR10" i="5"/>
  <c r="BR11" i="5"/>
  <c r="BR12" i="5"/>
  <c r="BR13" i="5"/>
  <c r="BR14" i="5"/>
  <c r="BR16" i="5"/>
  <c r="BR17" i="5"/>
  <c r="BR18" i="5"/>
  <c r="BR19" i="5"/>
  <c r="BR20" i="5"/>
  <c r="BR21" i="5"/>
  <c r="BR22" i="5"/>
  <c r="BR23" i="5"/>
  <c r="BS23" i="5" s="1"/>
  <c r="AZ8" i="15"/>
  <c r="BR9" i="5"/>
  <c r="BJ10" i="5"/>
  <c r="BJ11" i="5"/>
  <c r="BJ12" i="5"/>
  <c r="BJ13" i="5"/>
  <c r="BJ14" i="5"/>
  <c r="BJ15" i="5"/>
  <c r="BJ16" i="5"/>
  <c r="BJ17" i="5"/>
  <c r="BJ18" i="5"/>
  <c r="BJ19" i="5"/>
  <c r="BJ20" i="5"/>
  <c r="BJ21" i="5"/>
  <c r="BJ22" i="5"/>
  <c r="BJ23" i="5"/>
  <c r="BJ9" i="5"/>
  <c r="N1" i="14"/>
  <c r="AD9" i="15"/>
  <c r="AD10" i="15"/>
  <c r="AD11" i="15"/>
  <c r="AD12" i="15"/>
  <c r="AD13" i="15"/>
  <c r="AD14" i="15"/>
  <c r="AD15" i="15"/>
  <c r="AD16" i="15"/>
  <c r="AD17" i="15"/>
  <c r="AD18" i="15"/>
  <c r="AD19" i="15"/>
  <c r="AD20" i="15"/>
  <c r="AD21" i="15"/>
  <c r="AD22" i="15"/>
  <c r="AD23" i="15"/>
  <c r="AD24" i="15"/>
  <c r="AD25" i="15"/>
  <c r="AD26" i="15"/>
  <c r="AD27" i="15"/>
  <c r="AD8" i="15"/>
  <c r="AC9" i="15"/>
  <c r="AC10" i="15"/>
  <c r="AC11" i="15"/>
  <c r="AC12" i="15"/>
  <c r="AC13" i="15"/>
  <c r="AC14" i="15"/>
  <c r="AC15" i="15"/>
  <c r="AC16" i="15"/>
  <c r="AC17" i="15"/>
  <c r="AC18" i="15"/>
  <c r="AC19" i="15"/>
  <c r="AC20" i="15"/>
  <c r="AC21" i="15"/>
  <c r="AC22" i="15"/>
  <c r="AC23" i="15"/>
  <c r="AC24" i="15"/>
  <c r="AC25" i="15"/>
  <c r="AC26" i="15"/>
  <c r="AC27" i="15"/>
  <c r="AC8" i="15"/>
  <c r="AA9" i="14"/>
  <c r="AA10" i="14"/>
  <c r="AA11" i="14"/>
  <c r="AA12" i="14"/>
  <c r="AA13" i="14"/>
  <c r="AA14" i="14"/>
  <c r="AA15" i="14"/>
  <c r="AA16" i="14"/>
  <c r="AA17" i="14"/>
  <c r="AA18" i="14"/>
  <c r="AA19" i="14"/>
  <c r="AA20" i="14"/>
  <c r="AA21" i="14"/>
  <c r="AA22" i="14"/>
  <c r="AA23" i="14"/>
  <c r="AA24" i="14"/>
  <c r="AA25" i="14"/>
  <c r="AA26" i="14"/>
  <c r="AA27" i="14"/>
  <c r="AA28" i="14"/>
  <c r="AA29" i="14"/>
  <c r="AA30" i="14"/>
  <c r="AA31" i="14"/>
  <c r="AA32" i="14"/>
  <c r="AA33" i="14"/>
  <c r="AA34" i="14"/>
  <c r="AA35" i="14"/>
  <c r="AA36" i="14"/>
  <c r="AA37" i="14"/>
  <c r="AA38" i="14"/>
  <c r="AA39" i="14"/>
  <c r="AA40" i="14"/>
  <c r="AA41" i="14"/>
  <c r="AA42" i="14"/>
  <c r="AA43" i="14"/>
  <c r="AA44" i="14"/>
  <c r="AA45" i="14"/>
  <c r="AA46" i="14"/>
  <c r="AA47" i="14"/>
  <c r="AA48" i="14"/>
  <c r="AA49" i="14"/>
  <c r="AA50" i="14"/>
  <c r="AA51" i="14"/>
  <c r="AA52" i="14"/>
  <c r="AA53" i="14"/>
  <c r="AA54" i="14"/>
  <c r="AA55" i="14"/>
  <c r="AA56" i="14"/>
  <c r="AA57" i="14"/>
  <c r="AA8" i="14"/>
  <c r="AA9" i="13"/>
  <c r="AA10" i="13"/>
  <c r="AA11" i="13"/>
  <c r="AA12" i="13"/>
  <c r="AA13" i="13"/>
  <c r="AA14" i="13"/>
  <c r="AA15" i="13"/>
  <c r="AA16" i="13"/>
  <c r="AA17" i="13"/>
  <c r="AA18" i="13"/>
  <c r="AA19" i="13"/>
  <c r="AA20" i="13"/>
  <c r="AA21" i="13"/>
  <c r="AA22" i="13"/>
  <c r="AA23" i="13"/>
  <c r="AA24" i="13"/>
  <c r="AA25" i="13"/>
  <c r="AA26" i="13"/>
  <c r="AA27" i="13"/>
  <c r="AA28" i="13"/>
  <c r="AA29" i="13"/>
  <c r="AA30" i="13"/>
  <c r="AA31" i="13"/>
  <c r="AA32" i="13"/>
  <c r="AA33" i="13"/>
  <c r="AA34" i="13"/>
  <c r="AA35" i="13"/>
  <c r="AA36" i="13"/>
  <c r="AA37" i="13"/>
  <c r="AA38" i="13"/>
  <c r="AA39" i="13"/>
  <c r="AA40" i="13"/>
  <c r="AA41" i="13"/>
  <c r="AA42" i="13"/>
  <c r="AA43" i="13"/>
  <c r="AA44" i="13"/>
  <c r="AA45" i="13"/>
  <c r="AA46" i="13"/>
  <c r="AA47" i="13"/>
  <c r="AA48" i="13"/>
  <c r="AA49" i="13"/>
  <c r="AA50" i="13"/>
  <c r="AA51" i="13"/>
  <c r="AA52" i="13"/>
  <c r="AA53" i="13"/>
  <c r="AA54" i="13"/>
  <c r="AA55" i="13"/>
  <c r="AA56" i="13"/>
  <c r="AA57" i="13"/>
  <c r="AA8" i="13"/>
  <c r="BC21" i="5"/>
  <c r="BD21" i="5" s="1"/>
  <c r="BC20" i="5"/>
  <c r="BD20" i="5" s="1"/>
  <c r="BC19" i="5"/>
  <c r="BD19" i="5" s="1"/>
  <c r="BC17" i="5"/>
  <c r="BD17" i="5" s="1"/>
  <c r="BC16" i="5"/>
  <c r="CE16" i="5" s="1"/>
  <c r="BC15" i="5"/>
  <c r="BD15" i="5" s="1"/>
  <c r="BC14" i="5"/>
  <c r="BD14" i="5" s="1"/>
  <c r="BC13" i="5"/>
  <c r="BD13" i="5" s="1"/>
  <c r="BC12" i="5"/>
  <c r="BD12" i="5" s="1"/>
  <c r="BC11" i="5"/>
  <c r="BD11" i="5" s="1"/>
  <c r="BC10" i="5"/>
  <c r="CE10" i="5" s="1"/>
  <c r="BA10" i="5"/>
  <c r="BC9" i="5"/>
  <c r="BD9" i="5" s="1"/>
  <c r="BH23" i="5"/>
  <c r="BH22" i="5"/>
  <c r="BH21" i="5"/>
  <c r="BH20" i="5"/>
  <c r="BH19" i="5"/>
  <c r="BH18" i="5"/>
  <c r="BH17" i="5"/>
  <c r="BH16" i="5"/>
  <c r="BH15" i="5"/>
  <c r="BH14" i="5"/>
  <c r="BH13" i="5"/>
  <c r="BH12" i="5"/>
  <c r="BH11" i="5"/>
  <c r="BH10" i="5"/>
  <c r="BH9" i="5"/>
  <c r="AE9" i="5"/>
  <c r="AY27" i="15"/>
  <c r="AY26" i="15"/>
  <c r="AY25" i="15"/>
  <c r="AY24" i="15"/>
  <c r="AY23" i="15"/>
  <c r="AY22" i="15"/>
  <c r="AY21" i="15"/>
  <c r="AY20" i="15"/>
  <c r="AY19" i="15"/>
  <c r="AY18" i="15"/>
  <c r="AY17" i="15"/>
  <c r="AY16" i="15"/>
  <c r="AY15" i="15"/>
  <c r="AY14" i="15"/>
  <c r="AY13" i="15"/>
  <c r="AY12" i="15"/>
  <c r="AY11" i="15"/>
  <c r="AY10" i="15"/>
  <c r="T10" i="15"/>
  <c r="AY9" i="15"/>
  <c r="AY8" i="15"/>
  <c r="T8" i="15"/>
  <c r="BA20" i="5"/>
  <c r="BA21" i="5"/>
  <c r="BA22" i="5"/>
  <c r="AE22" i="5"/>
  <c r="AE21" i="5"/>
  <c r="AE20" i="5"/>
  <c r="BA9" i="5"/>
  <c r="BA11" i="5"/>
  <c r="BA12" i="5"/>
  <c r="BA13" i="5"/>
  <c r="BA14" i="5"/>
  <c r="BA15" i="5"/>
  <c r="BA16" i="5"/>
  <c r="BA17" i="5"/>
  <c r="BA18" i="5"/>
  <c r="BA19" i="5"/>
  <c r="BA23" i="5"/>
  <c r="N5" i="15"/>
  <c r="N4" i="15"/>
  <c r="N2" i="15"/>
  <c r="N1" i="15"/>
  <c r="N5" i="14"/>
  <c r="N4" i="14"/>
  <c r="N2" i="14"/>
  <c r="N5" i="13"/>
  <c r="N4" i="13"/>
  <c r="N2" i="13"/>
  <c r="N1" i="13"/>
  <c r="N5" i="8"/>
  <c r="N4" i="8"/>
  <c r="N2" i="8"/>
  <c r="N1" i="8"/>
  <c r="D17" i="18"/>
  <c r="D16" i="18"/>
  <c r="D18" i="18"/>
  <c r="AE23" i="5"/>
  <c r="AE19" i="5"/>
  <c r="AE18" i="5"/>
  <c r="AE17" i="5"/>
  <c r="AE16" i="5"/>
  <c r="AE15" i="5"/>
  <c r="AE14" i="5"/>
  <c r="AE13" i="5"/>
  <c r="AE10" i="5"/>
  <c r="N3" i="8"/>
  <c r="N3" i="14"/>
  <c r="N3" i="15"/>
  <c r="N3" i="13"/>
  <c r="AV19" i="5"/>
  <c r="AZ17" i="5"/>
  <c r="AZ18" i="5"/>
  <c r="AZ15" i="5"/>
  <c r="AZ14" i="5"/>
  <c r="AZ16" i="5"/>
  <c r="AZ12" i="5"/>
  <c r="AV13" i="5"/>
  <c r="CE22" i="5"/>
  <c r="BD22" i="5"/>
  <c r="AV16" i="5"/>
  <c r="AV15" i="5"/>
  <c r="AV14" i="5"/>
  <c r="AV18" i="5"/>
  <c r="AZ11" i="5"/>
  <c r="FD20" i="5"/>
  <c r="FG20" i="5"/>
  <c r="FF20" i="5"/>
  <c r="FD16" i="5"/>
  <c r="FF16" i="5"/>
  <c r="FG16" i="5"/>
  <c r="FB19" i="5"/>
  <c r="FE23" i="5"/>
  <c r="FB23" i="5"/>
  <c r="FB21" i="5"/>
  <c r="FE21" i="5"/>
  <c r="FB22" i="5"/>
  <c r="FE22" i="5"/>
  <c r="K22" i="5"/>
  <c r="DD22" i="5" s="1"/>
  <c r="FB20" i="5"/>
  <c r="FE20" i="5"/>
  <c r="K20" i="5"/>
  <c r="DD20" i="5" s="1"/>
  <c r="FB16" i="5"/>
  <c r="FE16" i="5"/>
  <c r="K16" i="5"/>
  <c r="DD16" i="5" s="1"/>
  <c r="FD19" i="5"/>
  <c r="FE19" i="5"/>
  <c r="FF19" i="5"/>
  <c r="FG19" i="5"/>
  <c r="K19" i="5"/>
  <c r="DD19" i="5" s="1"/>
  <c r="FB17" i="5"/>
  <c r="FF17" i="5"/>
  <c r="FE17" i="5"/>
  <c r="FG17" i="5"/>
  <c r="FD17" i="5"/>
  <c r="FB14" i="5"/>
  <c r="FG14" i="5"/>
  <c r="FE14" i="5"/>
  <c r="FF14" i="5"/>
  <c r="FD14" i="5"/>
  <c r="FB18" i="5"/>
  <c r="FD18" i="5"/>
  <c r="FG18" i="5"/>
  <c r="FF18" i="5"/>
  <c r="FE18" i="5"/>
  <c r="FD15" i="5"/>
  <c r="FG15" i="5"/>
  <c r="FF15" i="5"/>
  <c r="FE15" i="5"/>
  <c r="FB15" i="5"/>
  <c r="K17" i="5"/>
  <c r="DD17" i="5" s="1"/>
  <c r="K21" i="5"/>
  <c r="DD21" i="5" s="1"/>
  <c r="K23" i="5"/>
  <c r="DD23" i="5" s="1"/>
  <c r="K18" i="5"/>
  <c r="DD18" i="5" s="1"/>
  <c r="K15" i="5"/>
  <c r="DD15" i="5" s="1"/>
  <c r="K14" i="5"/>
  <c r="DD14" i="5" s="1"/>
  <c r="BI18" i="5" l="1"/>
  <c r="BS19" i="5"/>
  <c r="AV12" i="5"/>
  <c r="AD3" i="5"/>
  <c r="AD2" i="5" s="1"/>
  <c r="AD2" i="25" s="1"/>
  <c r="AZ10" i="5"/>
  <c r="CE18" i="5"/>
  <c r="BE18" i="5"/>
  <c r="AV11" i="5"/>
  <c r="EY23" i="5"/>
  <c r="EZ23" i="5" s="1"/>
  <c r="EY17" i="5"/>
  <c r="EZ17" i="5" s="1"/>
  <c r="EY11" i="5"/>
  <c r="EZ11" i="5" s="1"/>
  <c r="BS20" i="5"/>
  <c r="FH22" i="5"/>
  <c r="BS16" i="5"/>
  <c r="EY19" i="5"/>
  <c r="EZ19" i="5" s="1"/>
  <c r="DR22" i="5"/>
  <c r="DS22" i="5" s="1"/>
  <c r="EY16" i="5"/>
  <c r="EZ16" i="5" s="1"/>
  <c r="BS14" i="5"/>
  <c r="DR23" i="5"/>
  <c r="DS23" i="5" s="1"/>
  <c r="CE14" i="5"/>
  <c r="CT22" i="5"/>
  <c r="FA22" i="5" s="1"/>
  <c r="DR20" i="5"/>
  <c r="DS20" i="5" s="1"/>
  <c r="DR15" i="5"/>
  <c r="DS15" i="5" s="1"/>
  <c r="CE21" i="5"/>
  <c r="BE21" i="5"/>
  <c r="BE14" i="5"/>
  <c r="BE9" i="5"/>
  <c r="BS9" i="5"/>
  <c r="DR21" i="5"/>
  <c r="DS21" i="5" s="1"/>
  <c r="CE19" i="5"/>
  <c r="DR14" i="5"/>
  <c r="DS14" i="5" s="1"/>
  <c r="EY9" i="5"/>
  <c r="EZ9" i="5" s="1"/>
  <c r="EY18" i="5"/>
  <c r="EZ18" i="5" s="1"/>
  <c r="EY14" i="5"/>
  <c r="EZ14" i="5" s="1"/>
  <c r="BG23" i="22"/>
  <c r="BG41" i="22"/>
  <c r="BG29" i="22"/>
  <c r="BG40" i="22"/>
  <c r="BG45" i="22"/>
  <c r="BG48" i="22"/>
  <c r="BG49" i="22"/>
  <c r="BG53" i="22"/>
  <c r="DR13" i="5"/>
  <c r="DS13" i="5" s="1"/>
  <c r="BS13" i="5"/>
  <c r="DR9" i="5"/>
  <c r="DS9" i="5" s="1"/>
  <c r="BS12" i="5"/>
  <c r="AV9" i="5"/>
  <c r="BI9" i="5"/>
  <c r="CE9" i="5"/>
  <c r="DR11" i="5"/>
  <c r="DS11" i="5" s="1"/>
  <c r="AV10" i="5"/>
  <c r="GJ12" i="5"/>
  <c r="AE1" i="5" s="1"/>
  <c r="AE1" i="25" s="1"/>
  <c r="BS10" i="5"/>
  <c r="BE10" i="5"/>
  <c r="CT9" i="5"/>
  <c r="CT14" i="5"/>
  <c r="FA14" i="5" s="1"/>
  <c r="DK21" i="23"/>
  <c r="DK39" i="23"/>
  <c r="DR18" i="5"/>
  <c r="DS18" i="5" s="1"/>
  <c r="CT17" i="5"/>
  <c r="FA17" i="5" s="1"/>
  <c r="DK20" i="23"/>
  <c r="BD10" i="5"/>
  <c r="BI10" i="5" s="1"/>
  <c r="CT19" i="5"/>
  <c r="FA19" i="5" s="1"/>
  <c r="BE19" i="5"/>
  <c r="BS22" i="5"/>
  <c r="BS11" i="5"/>
  <c r="CT18" i="5"/>
  <c r="FA18" i="5" s="1"/>
  <c r="DK29" i="23"/>
  <c r="FH14" i="5"/>
  <c r="DK16" i="23"/>
  <c r="DK28" i="23"/>
  <c r="CT11" i="5"/>
  <c r="FA11" i="5" s="1"/>
  <c r="FH21" i="5"/>
  <c r="BS18" i="5"/>
  <c r="DK48" i="23"/>
  <c r="FH23" i="5"/>
  <c r="CT16" i="5"/>
  <c r="FA16" i="5" s="1"/>
  <c r="CT10" i="5"/>
  <c r="FA10" i="5" s="1"/>
  <c r="BS17" i="5"/>
  <c r="FH18" i="5"/>
  <c r="DK8" i="23"/>
  <c r="DK9" i="23"/>
  <c r="DK12" i="23"/>
  <c r="FH17" i="5"/>
  <c r="CT15" i="5"/>
  <c r="FA15" i="5" s="1"/>
  <c r="DR19" i="5"/>
  <c r="DS19" i="5" s="1"/>
  <c r="EY22" i="5"/>
  <c r="EZ22" i="5" s="1"/>
  <c r="BE13" i="5"/>
  <c r="CE13" i="5"/>
  <c r="FH15" i="5"/>
  <c r="BI19" i="5"/>
  <c r="AM55" i="21"/>
  <c r="AM51" i="21"/>
  <c r="AM47" i="21"/>
  <c r="AM43" i="21"/>
  <c r="AM39" i="21"/>
  <c r="AM35" i="21"/>
  <c r="AM31" i="21"/>
  <c r="AM27" i="21"/>
  <c r="AM23" i="21"/>
  <c r="AM19" i="21"/>
  <c r="AM15" i="21"/>
  <c r="AM11" i="21"/>
  <c r="BP11" i="22"/>
  <c r="BP27" i="22"/>
  <c r="DK11" i="23"/>
  <c r="DK15" i="23"/>
  <c r="DK19" i="23"/>
  <c r="DK23" i="23"/>
  <c r="DK27" i="23"/>
  <c r="DK31" i="23"/>
  <c r="DK43" i="23"/>
  <c r="BI23" i="5"/>
  <c r="BE23" i="5"/>
  <c r="BE15" i="5"/>
  <c r="CT23" i="5"/>
  <c r="EY15" i="5"/>
  <c r="EZ15" i="5" s="1"/>
  <c r="BP23" i="22"/>
  <c r="BP39" i="22"/>
  <c r="BP51" i="22"/>
  <c r="BQ53" i="22"/>
  <c r="BP53" i="22"/>
  <c r="BR53" i="22" s="1"/>
  <c r="BQ43" i="22"/>
  <c r="BP43" i="22"/>
  <c r="ET15" i="5"/>
  <c r="CE12" i="5"/>
  <c r="CT21" i="5"/>
  <c r="FA21" i="5" s="1"/>
  <c r="FH20" i="5"/>
  <c r="CE23" i="5"/>
  <c r="BE16" i="5"/>
  <c r="BI22" i="5"/>
  <c r="BS21" i="5"/>
  <c r="DR17" i="5"/>
  <c r="DS17" i="5" s="1"/>
  <c r="DR10" i="5"/>
  <c r="DS10" i="5" s="1"/>
  <c r="CT13" i="5"/>
  <c r="FA13" i="5" s="1"/>
  <c r="FH19" i="5"/>
  <c r="FH16" i="5"/>
  <c r="CE15" i="5"/>
  <c r="BE12" i="5"/>
  <c r="BE20" i="5"/>
  <c r="BI21" i="5"/>
  <c r="CT20" i="5"/>
  <c r="FA20" i="5" s="1"/>
  <c r="BS15" i="5"/>
  <c r="DR16" i="5"/>
  <c r="DS16" i="5" s="1"/>
  <c r="DR12" i="5"/>
  <c r="DS12" i="5" s="1"/>
  <c r="AI54" i="21"/>
  <c r="AI50" i="21"/>
  <c r="AI46" i="21"/>
  <c r="AI42" i="21"/>
  <c r="AI38" i="21"/>
  <c r="AI34" i="21"/>
  <c r="AI30" i="21"/>
  <c r="AI26" i="21"/>
  <c r="AI22" i="21"/>
  <c r="AI18" i="21"/>
  <c r="AI14" i="21"/>
  <c r="AI10" i="21"/>
  <c r="AD55" i="21"/>
  <c r="AD51" i="21"/>
  <c r="AD47" i="21"/>
  <c r="AD43" i="21"/>
  <c r="AD39" i="21"/>
  <c r="AD35" i="21"/>
  <c r="AD31" i="21"/>
  <c r="AD27" i="21"/>
  <c r="AD23" i="21"/>
  <c r="AD19" i="21"/>
  <c r="AD15" i="21"/>
  <c r="AD11" i="21"/>
  <c r="EY20" i="5"/>
  <c r="EZ20" i="5" s="1"/>
  <c r="EY12" i="5"/>
  <c r="EZ12" i="5" s="1"/>
  <c r="EY10" i="5"/>
  <c r="EZ10" i="5" s="1"/>
  <c r="BP13" i="22"/>
  <c r="BR13" i="22" s="1"/>
  <c r="BP19" i="22"/>
  <c r="BP29" i="22"/>
  <c r="BR29" i="22" s="1"/>
  <c r="BP35" i="22"/>
  <c r="BP47" i="22"/>
  <c r="DK34" i="23"/>
  <c r="DK36" i="23"/>
  <c r="DK10" i="23"/>
  <c r="DK14" i="23"/>
  <c r="DK18" i="23"/>
  <c r="DK22" i="23"/>
  <c r="DK26" i="23"/>
  <c r="DK30" i="23"/>
  <c r="DK33" i="23"/>
  <c r="DK35" i="23"/>
  <c r="FX19" i="5"/>
  <c r="GD17" i="5"/>
  <c r="BD52" i="8"/>
  <c r="BD36" i="8"/>
  <c r="AY41" i="22"/>
  <c r="AF39" i="8"/>
  <c r="FK19" i="5"/>
  <c r="FO19" i="5" s="1"/>
  <c r="AC30" i="8"/>
  <c r="AA18" i="22"/>
  <c r="AC25" i="8"/>
  <c r="BG50" i="22"/>
  <c r="BG56" i="22"/>
  <c r="BG57" i="22"/>
  <c r="ET11" i="5"/>
  <c r="EV11" i="5" s="1"/>
  <c r="BD51" i="8"/>
  <c r="BD35" i="8"/>
  <c r="BD27" i="8"/>
  <c r="BD23" i="8"/>
  <c r="BD21" i="8"/>
  <c r="BD19" i="8"/>
  <c r="BD11" i="8"/>
  <c r="AY26" i="22"/>
  <c r="AY32" i="22"/>
  <c r="AY33" i="22"/>
  <c r="AA30" i="22"/>
  <c r="BN10" i="22"/>
  <c r="AC12" i="8"/>
  <c r="BL55" i="8"/>
  <c r="BL51" i="8"/>
  <c r="BL47" i="8"/>
  <c r="BL43" i="8"/>
  <c r="BL39" i="8"/>
  <c r="BL35" i="8"/>
  <c r="BL31" i="8"/>
  <c r="BL27" i="8"/>
  <c r="BL23" i="8"/>
  <c r="BL19" i="8"/>
  <c r="BL15" i="8"/>
  <c r="BL11" i="8"/>
  <c r="AA34" i="22"/>
  <c r="AF15" i="8"/>
  <c r="AA14" i="22"/>
  <c r="AA46" i="22"/>
  <c r="AY14" i="22"/>
  <c r="AF31" i="8"/>
  <c r="BG10" i="22"/>
  <c r="BG26" i="22"/>
  <c r="BG27" i="22"/>
  <c r="BG32" i="22"/>
  <c r="BG33" i="22"/>
  <c r="AA57" i="22"/>
  <c r="BL54" i="8"/>
  <c r="BL50" i="8"/>
  <c r="BL42" i="8"/>
  <c r="BL38" i="8"/>
  <c r="BL30" i="8"/>
  <c r="BL26" i="8"/>
  <c r="BL22" i="8"/>
  <c r="BL18" i="8"/>
  <c r="BL14" i="8"/>
  <c r="BL10" i="8"/>
  <c r="AY13" i="22"/>
  <c r="BD55" i="8"/>
  <c r="BD53" i="8"/>
  <c r="BD20" i="8"/>
  <c r="AC37" i="8"/>
  <c r="BL56" i="8"/>
  <c r="BL52" i="8"/>
  <c r="BL48" i="8"/>
  <c r="BL44" i="8"/>
  <c r="BL40" i="8"/>
  <c r="BL36" i="8"/>
  <c r="BL32" i="8"/>
  <c r="BL28" i="8"/>
  <c r="BL24" i="8"/>
  <c r="BL20" i="8"/>
  <c r="BL16" i="8"/>
  <c r="BL12" i="8"/>
  <c r="AY12" i="22"/>
  <c r="BG12" i="22"/>
  <c r="BG16" i="22"/>
  <c r="BG17" i="22"/>
  <c r="AY50" i="22"/>
  <c r="ET9" i="5"/>
  <c r="EV9" i="5" s="1"/>
  <c r="AC33" i="8"/>
  <c r="BD43" i="8"/>
  <c r="BD39" i="8"/>
  <c r="BD37" i="8"/>
  <c r="AC14" i="8"/>
  <c r="BG36" i="22"/>
  <c r="BG37" i="22"/>
  <c r="BG38" i="22"/>
  <c r="AC18" i="8"/>
  <c r="AC41" i="8"/>
  <c r="BL57" i="8"/>
  <c r="BL53" i="8"/>
  <c r="BL49" i="8"/>
  <c r="BL45" i="8"/>
  <c r="BL41" i="8"/>
  <c r="BL37" i="8"/>
  <c r="BL33" i="8"/>
  <c r="BL29" i="8"/>
  <c r="BL25" i="8"/>
  <c r="BL21" i="8"/>
  <c r="BL17" i="8"/>
  <c r="BL13" i="8"/>
  <c r="BL9" i="8"/>
  <c r="AY11" i="22"/>
  <c r="AY15" i="22"/>
  <c r="X51" i="22"/>
  <c r="FU14" i="5"/>
  <c r="GG14" i="5" s="1"/>
  <c r="AE16" i="15"/>
  <c r="BD47" i="8"/>
  <c r="BD45" i="8"/>
  <c r="BD28" i="8"/>
  <c r="BD15" i="8"/>
  <c r="BD13" i="8"/>
  <c r="AA44" i="22"/>
  <c r="AC10" i="8"/>
  <c r="AF10" i="8"/>
  <c r="BI14" i="5"/>
  <c r="CO13" i="5"/>
  <c r="N6" i="5" s="1"/>
  <c r="AB15" i="13"/>
  <c r="AB16" i="14"/>
  <c r="BD44" i="8"/>
  <c r="BD31" i="8"/>
  <c r="BD29" i="8"/>
  <c r="BD12" i="8"/>
  <c r="AF44" i="8"/>
  <c r="AC44" i="8"/>
  <c r="X48" i="22"/>
  <c r="AA48" i="22"/>
  <c r="X32" i="22"/>
  <c r="AA32" i="22"/>
  <c r="X16" i="22"/>
  <c r="AA16" i="22"/>
  <c r="X12" i="22"/>
  <c r="AA12" i="22"/>
  <c r="FR15" i="5"/>
  <c r="AM13" i="21"/>
  <c r="AM9" i="21"/>
  <c r="AY9" i="22"/>
  <c r="BG9" i="22"/>
  <c r="BG19" i="22"/>
  <c r="BG20" i="22"/>
  <c r="AY21" i="22"/>
  <c r="BG21" i="22"/>
  <c r="BG22" i="22"/>
  <c r="BG24" i="22"/>
  <c r="AY42" i="22"/>
  <c r="AY43" i="22"/>
  <c r="AY48" i="22"/>
  <c r="AY49" i="22"/>
  <c r="FU23" i="5"/>
  <c r="GG23" i="5" s="1"/>
  <c r="FU21" i="5"/>
  <c r="GG21" i="5" s="1"/>
  <c r="FU13" i="5"/>
  <c r="GG13" i="5" s="1"/>
  <c r="FX9" i="5"/>
  <c r="FX18" i="5"/>
  <c r="FX16" i="5"/>
  <c r="FX12" i="5"/>
  <c r="FX10" i="5"/>
  <c r="GD9" i="5"/>
  <c r="GA23" i="5"/>
  <c r="GH23" i="5" s="1"/>
  <c r="GA21" i="5"/>
  <c r="GH21" i="5" s="1"/>
  <c r="GA19" i="5"/>
  <c r="GH19" i="5" s="1"/>
  <c r="GA17" i="5"/>
  <c r="GH17" i="5" s="1"/>
  <c r="GA14" i="5"/>
  <c r="GH14" i="5" s="1"/>
  <c r="GA11" i="5"/>
  <c r="GA10" i="5"/>
  <c r="ET13" i="5"/>
  <c r="ET23" i="5"/>
  <c r="ET19" i="5"/>
  <c r="FR13" i="5"/>
  <c r="AF55" i="8"/>
  <c r="AI56" i="21"/>
  <c r="AI52" i="21"/>
  <c r="AI48" i="21"/>
  <c r="AI44" i="21"/>
  <c r="AI40" i="21"/>
  <c r="AI36" i="21"/>
  <c r="AI32" i="21"/>
  <c r="AI28" i="21"/>
  <c r="AI24" i="21"/>
  <c r="AI20" i="21"/>
  <c r="AI16" i="21"/>
  <c r="AI12" i="21"/>
  <c r="AD57" i="21"/>
  <c r="AD53" i="21"/>
  <c r="AD49" i="21"/>
  <c r="AD45" i="21"/>
  <c r="AD41" i="21"/>
  <c r="AD37" i="21"/>
  <c r="AD33" i="21"/>
  <c r="AD29" i="21"/>
  <c r="AD25" i="21"/>
  <c r="AD21" i="21"/>
  <c r="AD17" i="21"/>
  <c r="AD13" i="21"/>
  <c r="AD9" i="21"/>
  <c r="BG8" i="22"/>
  <c r="AY18" i="22"/>
  <c r="AY19" i="22"/>
  <c r="BG42" i="22"/>
  <c r="BG43" i="22"/>
  <c r="BG52" i="22"/>
  <c r="BG54" i="22"/>
  <c r="FK9" i="5"/>
  <c r="FO9" i="5" s="1"/>
  <c r="FK22" i="5"/>
  <c r="FO22" i="5" s="1"/>
  <c r="FK20" i="5"/>
  <c r="FO20" i="5" s="1"/>
  <c r="FK18" i="5"/>
  <c r="FO18" i="5" s="1"/>
  <c r="FK16" i="5"/>
  <c r="FO16" i="5" s="1"/>
  <c r="FK14" i="5"/>
  <c r="FO14" i="5" s="1"/>
  <c r="FK12" i="5"/>
  <c r="FO12" i="5" s="1"/>
  <c r="FK10" i="5"/>
  <c r="FO10" i="5" s="1"/>
  <c r="FR9" i="5"/>
  <c r="FR22" i="5"/>
  <c r="FR18" i="5"/>
  <c r="FU18" i="5"/>
  <c r="GG18" i="5" s="1"/>
  <c r="FU16" i="5"/>
  <c r="GG16" i="5" s="1"/>
  <c r="FX17" i="5"/>
  <c r="FX15" i="5"/>
  <c r="GA9" i="5"/>
  <c r="GD23" i="5"/>
  <c r="GD19" i="5"/>
  <c r="GD16" i="5"/>
  <c r="AE15" i="15"/>
  <c r="BD57" i="8"/>
  <c r="BD48" i="8"/>
  <c r="BD41" i="8"/>
  <c r="BD32" i="8"/>
  <c r="BD25" i="8"/>
  <c r="BD16" i="8"/>
  <c r="BD9" i="8"/>
  <c r="AF22" i="8"/>
  <c r="AI55" i="21"/>
  <c r="AI51" i="21"/>
  <c r="AI47" i="21"/>
  <c r="AI43" i="21"/>
  <c r="AI39" i="21"/>
  <c r="AI35" i="21"/>
  <c r="AI31" i="21"/>
  <c r="AI27" i="21"/>
  <c r="AI23" i="21"/>
  <c r="AI19" i="21"/>
  <c r="AI15" i="21"/>
  <c r="AI11" i="21"/>
  <c r="AD56" i="21"/>
  <c r="AD52" i="21"/>
  <c r="AD48" i="21"/>
  <c r="AD44" i="21"/>
  <c r="AD40" i="21"/>
  <c r="AD36" i="21"/>
  <c r="AD32" i="21"/>
  <c r="AD28" i="21"/>
  <c r="AD24" i="21"/>
  <c r="AD20" i="21"/>
  <c r="AD12" i="21"/>
  <c r="AM8" i="21"/>
  <c r="AM54" i="21"/>
  <c r="AM50" i="21"/>
  <c r="AM46" i="21"/>
  <c r="AM42" i="21"/>
  <c r="AM38" i="21"/>
  <c r="AM34" i="21"/>
  <c r="AM30" i="21"/>
  <c r="AM26" i="21"/>
  <c r="AM22" i="21"/>
  <c r="AM18" i="21"/>
  <c r="AM14" i="21"/>
  <c r="AM10" i="21"/>
  <c r="AF23" i="8"/>
  <c r="AC50" i="8"/>
  <c r="AI57" i="21"/>
  <c r="AI53" i="21"/>
  <c r="AI49" i="21"/>
  <c r="AI45" i="21"/>
  <c r="AI41" i="21"/>
  <c r="AI37" i="21"/>
  <c r="AI33" i="21"/>
  <c r="AI29" i="21"/>
  <c r="AI25" i="21"/>
  <c r="AI21" i="21"/>
  <c r="AI17" i="21"/>
  <c r="AI13" i="21"/>
  <c r="AI9" i="21"/>
  <c r="AA21" i="22"/>
  <c r="AG16" i="8"/>
  <c r="BD56" i="8"/>
  <c r="BD49" i="8"/>
  <c r="BD40" i="8"/>
  <c r="BD33" i="8"/>
  <c r="BD24" i="8"/>
  <c r="BD17" i="8"/>
  <c r="AF27" i="8"/>
  <c r="AC56" i="8"/>
  <c r="AC49" i="8"/>
  <c r="Z15" i="21"/>
  <c r="AD54" i="21"/>
  <c r="AD50" i="21"/>
  <c r="AD46" i="21"/>
  <c r="AD42" i="21"/>
  <c r="AD38" i="21"/>
  <c r="AD34" i="21"/>
  <c r="AD30" i="21"/>
  <c r="AD26" i="21"/>
  <c r="AD22" i="21"/>
  <c r="AD18" i="21"/>
  <c r="AD14" i="21"/>
  <c r="AD10" i="21"/>
  <c r="AM12" i="21"/>
  <c r="BL8" i="8"/>
  <c r="AA49" i="22"/>
  <c r="X41" i="22"/>
  <c r="AA41" i="22"/>
  <c r="X33" i="22"/>
  <c r="AA33" i="22"/>
  <c r="X29" i="22"/>
  <c r="AA29" i="22"/>
  <c r="X25" i="22"/>
  <c r="AA25" i="22"/>
  <c r="AY8" i="22"/>
  <c r="AY24" i="22"/>
  <c r="AY25" i="22"/>
  <c r="BG34" i="22"/>
  <c r="BG35" i="22"/>
  <c r="BG44" i="22"/>
  <c r="BG46" i="22"/>
  <c r="AY47" i="22"/>
  <c r="AY56" i="22"/>
  <c r="AY57" i="22"/>
  <c r="AA9" i="22"/>
  <c r="ET20" i="5"/>
  <c r="AB16" i="22"/>
  <c r="AY16" i="22"/>
  <c r="AY20" i="22"/>
  <c r="AY34" i="22"/>
  <c r="AA17" i="22"/>
  <c r="FR14" i="5"/>
  <c r="FR10" i="5"/>
  <c r="BG13" i="22"/>
  <c r="BG14" i="22"/>
  <c r="AY17" i="22"/>
  <c r="BG28" i="22"/>
  <c r="BG30" i="22"/>
  <c r="BG31" i="22"/>
  <c r="AY35" i="22"/>
  <c r="AY40" i="22"/>
  <c r="BG51" i="22"/>
  <c r="AA13" i="22"/>
  <c r="FK21" i="5"/>
  <c r="FO21" i="5" s="1"/>
  <c r="FU9" i="5"/>
  <c r="FU22" i="5"/>
  <c r="GG22" i="5" s="1"/>
  <c r="FU20" i="5"/>
  <c r="GG20" i="5" s="1"/>
  <c r="FU10" i="5"/>
  <c r="FX23" i="5"/>
  <c r="FX21" i="5"/>
  <c r="FX13" i="5"/>
  <c r="GD22" i="5"/>
  <c r="GD21" i="5"/>
  <c r="GD20" i="5"/>
  <c r="GD18" i="5"/>
  <c r="GD15" i="5"/>
  <c r="GD14" i="5"/>
  <c r="GD13" i="5"/>
  <c r="GD10" i="5"/>
  <c r="ET10" i="5"/>
  <c r="EV10" i="5" s="1"/>
  <c r="ET12" i="5"/>
  <c r="ET22" i="5"/>
  <c r="BI15" i="5"/>
  <c r="BI20" i="5"/>
  <c r="BD8" i="8"/>
  <c r="BD54" i="8"/>
  <c r="BD46" i="8"/>
  <c r="BD38" i="8"/>
  <c r="BD30" i="8"/>
  <c r="BD22" i="8"/>
  <c r="BD14" i="8"/>
  <c r="AF11" i="8"/>
  <c r="AC34" i="8"/>
  <c r="BL46" i="8"/>
  <c r="BL34" i="8"/>
  <c r="AY23" i="22"/>
  <c r="AY36" i="22"/>
  <c r="AY39" i="22"/>
  <c r="AY52" i="22"/>
  <c r="AY55" i="22"/>
  <c r="AA47" i="22"/>
  <c r="X40" i="22"/>
  <c r="AA40" i="22"/>
  <c r="X36" i="22"/>
  <c r="AA36" i="22"/>
  <c r="X24" i="22"/>
  <c r="AA24" i="22"/>
  <c r="X20" i="22"/>
  <c r="AA20" i="22"/>
  <c r="FR23" i="5"/>
  <c r="FR19" i="5"/>
  <c r="BI13" i="5"/>
  <c r="AM53" i="21"/>
  <c r="AM45" i="21"/>
  <c r="AM33" i="21"/>
  <c r="AM25" i="21"/>
  <c r="AM17" i="21"/>
  <c r="X53" i="22"/>
  <c r="AA53" i="22"/>
  <c r="AA39" i="22"/>
  <c r="X39" i="22"/>
  <c r="AA19" i="22"/>
  <c r="X19" i="22"/>
  <c r="X11" i="22"/>
  <c r="AA11" i="22"/>
  <c r="BN8" i="22"/>
  <c r="BN40" i="22"/>
  <c r="BN32" i="22"/>
  <c r="BN28" i="22"/>
  <c r="BN24" i="22"/>
  <c r="FR16" i="5"/>
  <c r="ET18" i="5"/>
  <c r="AB16" i="13"/>
  <c r="AB15" i="14"/>
  <c r="AM57" i="21"/>
  <c r="AM49" i="21"/>
  <c r="AM41" i="21"/>
  <c r="AM37" i="21"/>
  <c r="AM29" i="21"/>
  <c r="AM21" i="21"/>
  <c r="AG15" i="8"/>
  <c r="DE9" i="5"/>
  <c r="BI17" i="5"/>
  <c r="BD50" i="8"/>
  <c r="BD42" i="8"/>
  <c r="BD34" i="8"/>
  <c r="BD26" i="8"/>
  <c r="BD18" i="8"/>
  <c r="BD10" i="8"/>
  <c r="AF47" i="8"/>
  <c r="AC26" i="8"/>
  <c r="AC24" i="8"/>
  <c r="AC28" i="8"/>
  <c r="Z16" i="21"/>
  <c r="AD16" i="21"/>
  <c r="AM56" i="21"/>
  <c r="AM52" i="21"/>
  <c r="AM48" i="21"/>
  <c r="AM44" i="21"/>
  <c r="AM40" i="21"/>
  <c r="AM36" i="21"/>
  <c r="AM32" i="21"/>
  <c r="AM28" i="21"/>
  <c r="AM24" i="21"/>
  <c r="AM20" i="21"/>
  <c r="AM16" i="21"/>
  <c r="AY28" i="22"/>
  <c r="AY31" i="22"/>
  <c r="AY44" i="22"/>
  <c r="AA28" i="22"/>
  <c r="AA55" i="22"/>
  <c r="FU19" i="5"/>
  <c r="GG19" i="5" s="1"/>
  <c r="BG15" i="22"/>
  <c r="AY27" i="22"/>
  <c r="BG39" i="22"/>
  <c r="BG47" i="22"/>
  <c r="AY51" i="22"/>
  <c r="BG55" i="22"/>
  <c r="AA37" i="22"/>
  <c r="BG11" i="22"/>
  <c r="BG18" i="22"/>
  <c r="BG25" i="22"/>
  <c r="AY29" i="22"/>
  <c r="AY37" i="22"/>
  <c r="AY45" i="22"/>
  <c r="AY53" i="22"/>
  <c r="FK23" i="5"/>
  <c r="FO23" i="5" s="1"/>
  <c r="FK17" i="5"/>
  <c r="FO17" i="5" s="1"/>
  <c r="FK15" i="5"/>
  <c r="FO15" i="5" s="1"/>
  <c r="FK13" i="5"/>
  <c r="FO13" i="5" s="1"/>
  <c r="FR21" i="5"/>
  <c r="FR17" i="5"/>
  <c r="FU17" i="5"/>
  <c r="GG17" i="5" s="1"/>
  <c r="FU15" i="5"/>
  <c r="GG15" i="5" s="1"/>
  <c r="ET14" i="5"/>
  <c r="ET16" i="5"/>
  <c r="FX22" i="5"/>
  <c r="FX20" i="5"/>
  <c r="FX14" i="5"/>
  <c r="GA22" i="5"/>
  <c r="GH22" i="5" s="1"/>
  <c r="GA20" i="5"/>
  <c r="GH20" i="5" s="1"/>
  <c r="GA18" i="5"/>
  <c r="GH18" i="5" s="1"/>
  <c r="GA16" i="5"/>
  <c r="GH16" i="5" s="1"/>
  <c r="GA15" i="5"/>
  <c r="GH15" i="5" s="1"/>
  <c r="GA13" i="5"/>
  <c r="GA12" i="5"/>
  <c r="GH12" i="5" s="1"/>
  <c r="FA23" i="5"/>
  <c r="DM24" i="5"/>
  <c r="Z7" i="5" s="1"/>
  <c r="CE20" i="5"/>
  <c r="CE17" i="5"/>
  <c r="BD16" i="5"/>
  <c r="BI16" i="5" s="1"/>
  <c r="AF43" i="8"/>
  <c r="AC46" i="8"/>
  <c r="AC16" i="8"/>
  <c r="AC48" i="8"/>
  <c r="AC53" i="8"/>
  <c r="AC36" i="8"/>
  <c r="AC17" i="8"/>
  <c r="AF45" i="8"/>
  <c r="AC57" i="8"/>
  <c r="AF8" i="8"/>
  <c r="AF54" i="8"/>
  <c r="AF52" i="8"/>
  <c r="AF42" i="8"/>
  <c r="AF40" i="8"/>
  <c r="AF38" i="8"/>
  <c r="AF32" i="8"/>
  <c r="AD8" i="21"/>
  <c r="EY13" i="5"/>
  <c r="CE11" i="5"/>
  <c r="BE17" i="5"/>
  <c r="AF19" i="8"/>
  <c r="AF35" i="8"/>
  <c r="AF51" i="8"/>
  <c r="AC21" i="8"/>
  <c r="AC20" i="8"/>
  <c r="AC9" i="8"/>
  <c r="AF29" i="8"/>
  <c r="AF13" i="8"/>
  <c r="AI8" i="21"/>
  <c r="AB15" i="22"/>
  <c r="AY10" i="22"/>
  <c r="AY22" i="22"/>
  <c r="AY30" i="22"/>
  <c r="AY38" i="22"/>
  <c r="AY46" i="22"/>
  <c r="AY54" i="22"/>
  <c r="AA8" i="22"/>
  <c r="AA52" i="22"/>
  <c r="AA50" i="22"/>
  <c r="X23" i="22"/>
  <c r="AA43" i="22"/>
  <c r="X35" i="22"/>
  <c r="AA56" i="22"/>
  <c r="AA22" i="22"/>
  <c r="AA38" i="22"/>
  <c r="AA54" i="22"/>
  <c r="X15" i="22"/>
  <c r="BP10" i="22"/>
  <c r="BR10" i="22" s="1"/>
  <c r="BP14" i="22"/>
  <c r="BR14" i="22" s="1"/>
  <c r="BP18" i="22"/>
  <c r="BR18" i="22" s="1"/>
  <c r="BP22" i="22"/>
  <c r="BR22" i="22" s="1"/>
  <c r="BP26" i="22"/>
  <c r="BR26" i="22" s="1"/>
  <c r="BP30" i="22"/>
  <c r="BR30" i="22" s="1"/>
  <c r="BP34" i="22"/>
  <c r="BR34" i="22" s="1"/>
  <c r="BP38" i="22"/>
  <c r="BR38" i="22" s="1"/>
  <c r="BP42" i="22"/>
  <c r="BR42" i="22" s="1"/>
  <c r="BP46" i="22"/>
  <c r="BR46" i="22" s="1"/>
  <c r="BP50" i="22"/>
  <c r="BR50" i="22" s="1"/>
  <c r="BP54" i="22"/>
  <c r="BR54" i="22" s="1"/>
  <c r="BP8" i="22"/>
  <c r="BR8" i="22" s="1"/>
  <c r="AA10" i="22"/>
  <c r="AA26" i="22"/>
  <c r="AA42" i="22"/>
  <c r="AA45" i="22"/>
  <c r="X31" i="22"/>
  <c r="AA27" i="22"/>
  <c r="BR11" i="22"/>
  <c r="BR15" i="22"/>
  <c r="BR19" i="22"/>
  <c r="BR23" i="22"/>
  <c r="BR27" i="22"/>
  <c r="BR31" i="22"/>
  <c r="BR35" i="22"/>
  <c r="BR39" i="22"/>
  <c r="BR43" i="22"/>
  <c r="BR47" i="22"/>
  <c r="BR51" i="22"/>
  <c r="BR55" i="22"/>
  <c r="DK42" i="23"/>
  <c r="DK50" i="23"/>
  <c r="FR20" i="5"/>
  <c r="ET21" i="5"/>
  <c r="ET17" i="5"/>
  <c r="DK38" i="23"/>
  <c r="DK46" i="23"/>
  <c r="DK54" i="23"/>
  <c r="FU12" i="5"/>
  <c r="GG12" i="5" s="1"/>
  <c r="FX11" i="5"/>
  <c r="GD12" i="5"/>
  <c r="GD11" i="5"/>
  <c r="CT12" i="5"/>
  <c r="FA12" i="5" s="1"/>
  <c r="BE11" i="5"/>
  <c r="BI12" i="5"/>
  <c r="BI11" i="5"/>
  <c r="FK11" i="5"/>
  <c r="FU11" i="5"/>
  <c r="FR12" i="5"/>
  <c r="FR11" i="5"/>
  <c r="CU23" i="5" l="1"/>
  <c r="CU18" i="5"/>
  <c r="CU21" i="5"/>
  <c r="CU17" i="5"/>
  <c r="AG17" i="8"/>
  <c r="AG18" i="8" s="1"/>
  <c r="N6" i="8" s="1"/>
  <c r="D23" i="18"/>
  <c r="CU16" i="5"/>
  <c r="CU9" i="5"/>
  <c r="FG9" i="5" s="1"/>
  <c r="CU20" i="5"/>
  <c r="FA9" i="5"/>
  <c r="CU19" i="5"/>
  <c r="CU15" i="5"/>
  <c r="CU14" i="5"/>
  <c r="AB17" i="13"/>
  <c r="AB18" i="13" s="1"/>
  <c r="N6" i="13" s="1"/>
  <c r="AE17" i="15"/>
  <c r="AE18" i="15" s="1"/>
  <c r="N6" i="15" s="1"/>
  <c r="AB17" i="14"/>
  <c r="AB18" i="14" s="1"/>
  <c r="N6" i="14" s="1"/>
  <c r="Z17" i="21"/>
  <c r="Z18" i="21" s="1"/>
  <c r="I6" i="21" s="1"/>
  <c r="GF11" i="5"/>
  <c r="GG11" i="5" s="1"/>
  <c r="GH11" i="5" s="1"/>
  <c r="GF9" i="5"/>
  <c r="GG9" i="5" s="1"/>
  <c r="GH9" i="5" s="1"/>
  <c r="GF10" i="5"/>
  <c r="GG10" i="5" s="1"/>
  <c r="GH10" i="5" s="1"/>
  <c r="GF12" i="5"/>
  <c r="CU11" i="5"/>
  <c r="FE11" i="5" s="1"/>
  <c r="CU10" i="5"/>
  <c r="FE10" i="5" s="1"/>
  <c r="CU12" i="5"/>
  <c r="FC12" i="5" s="1"/>
  <c r="AB17" i="22"/>
  <c r="AB18" i="22" s="1"/>
  <c r="M6" i="22" s="1"/>
  <c r="CU22" i="5"/>
  <c r="GH13" i="5"/>
  <c r="EZ13" i="5"/>
  <c r="CU13" i="5"/>
  <c r="FE9" i="5" l="1"/>
  <c r="FB9" i="5"/>
  <c r="FF9" i="5"/>
  <c r="FD9" i="5"/>
  <c r="FC9" i="5"/>
  <c r="FF12" i="5"/>
  <c r="FB12" i="5"/>
  <c r="FD12" i="5"/>
  <c r="FG12" i="5"/>
  <c r="FE12" i="5"/>
  <c r="FH12" i="5" s="1"/>
  <c r="K12" i="5" s="1"/>
  <c r="DD12" i="5" s="1"/>
  <c r="FG11" i="5"/>
  <c r="FD11" i="5"/>
  <c r="FC11" i="5"/>
  <c r="FB10" i="5"/>
  <c r="FF10" i="5"/>
  <c r="FG10" i="5"/>
  <c r="FD10" i="5"/>
  <c r="FC10" i="5"/>
  <c r="FB11" i="5"/>
  <c r="FF11" i="5"/>
  <c r="FC13" i="5"/>
  <c r="FD13" i="5"/>
  <c r="FB13" i="5"/>
  <c r="FG13" i="5"/>
  <c r="FE13" i="5"/>
  <c r="FF13" i="5"/>
  <c r="FH9" i="5" l="1"/>
  <c r="K9" i="5" s="1"/>
  <c r="DD9" i="5" s="1"/>
  <c r="FH13" i="5"/>
  <c r="K13" i="5" s="1"/>
  <c r="DD13" i="5" s="1"/>
  <c r="FH11" i="5"/>
  <c r="K11" i="5" s="1"/>
  <c r="DD11" i="5" s="1"/>
  <c r="FH10" i="5"/>
  <c r="K10" i="5" s="1"/>
  <c r="DD10" i="5" s="1"/>
  <c r="DF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D3" authorId="0" shapeId="0" xr:uid="{00000000-0006-0000-0100-000001000000}">
      <text>
        <r>
          <rPr>
            <sz val="8"/>
            <color indexed="81"/>
            <rFont val="Tahoma"/>
            <family val="2"/>
          </rPr>
          <t>The</t>
        </r>
        <r>
          <rPr>
            <i/>
            <sz val="8"/>
            <color indexed="81"/>
            <rFont val="Tahoma"/>
            <family val="2"/>
          </rPr>
          <t xml:space="preserve"> Store Name</t>
        </r>
        <r>
          <rPr>
            <sz val="8"/>
            <color indexed="81"/>
            <rFont val="Tahoma"/>
            <family val="2"/>
          </rPr>
          <t xml:space="preserve"> List Can Be Populated 
When Entered On 
The</t>
        </r>
        <r>
          <rPr>
            <i/>
            <sz val="8"/>
            <color indexed="81"/>
            <rFont val="Tahoma"/>
            <family val="2"/>
          </rPr>
          <t xml:space="preserve"> Stores &amp; Delivery Addresses</t>
        </r>
        <r>
          <rPr>
            <sz val="8"/>
            <color indexed="81"/>
            <rFont val="Tahoma"/>
            <family val="2"/>
          </rPr>
          <t xml:space="preserve"> Tab.</t>
        </r>
      </text>
    </comment>
    <comment ref="D4" authorId="0" shapeId="0" xr:uid="{00000000-0006-0000-0100-000002000000}">
      <text>
        <r>
          <rPr>
            <sz val="8"/>
            <color indexed="81"/>
            <rFont val="Tahoma"/>
            <family val="2"/>
          </rPr>
          <t xml:space="preserve">The </t>
        </r>
        <r>
          <rPr>
            <i/>
            <sz val="8"/>
            <color indexed="81"/>
            <rFont val="Tahoma"/>
            <family val="2"/>
          </rPr>
          <t>Delivery Address</t>
        </r>
        <r>
          <rPr>
            <sz val="8"/>
            <color indexed="81"/>
            <rFont val="Tahoma"/>
            <family val="2"/>
          </rPr>
          <t xml:space="preserve"> List Can Be Populated 
When Entered On 
The </t>
        </r>
        <r>
          <rPr>
            <i/>
            <sz val="8"/>
            <color indexed="81"/>
            <rFont val="Tahoma"/>
            <family val="2"/>
          </rPr>
          <t>Stores &amp; Delivery Addresses</t>
        </r>
        <r>
          <rPr>
            <sz val="8"/>
            <color indexed="81"/>
            <rFont val="Tahoma"/>
            <family val="2"/>
          </rPr>
          <t xml:space="preserve"> Tab.</t>
        </r>
      </text>
    </comment>
    <comment ref="G17" authorId="0" shapeId="0" xr:uid="{00000000-0006-0000-0100-000003000000}">
      <text>
        <r>
          <rPr>
            <sz val="8"/>
            <color indexed="81"/>
            <rFont val="Tahoma"/>
            <family val="2"/>
          </rPr>
          <t>This is only applicable to Custom Made Blinds.
If a Shutter Corner Window is required, then please complete the appropriate Shutter diagram and submit with the Order.</t>
        </r>
      </text>
    </comment>
    <comment ref="J17" authorId="0" shapeId="0" xr:uid="{00000000-0006-0000-0100-000004000000}">
      <text>
        <r>
          <rPr>
            <sz val="8"/>
            <color indexed="81"/>
            <rFont val="Tahoma"/>
            <family val="2"/>
          </rPr>
          <t>This will auto-populate 
with "Yes" when entries are made in the CMB Corner Worksheet.</t>
        </r>
      </text>
    </comment>
    <comment ref="G20" authorId="0" shapeId="0" xr:uid="{00000000-0006-0000-0100-000005000000}">
      <text>
        <r>
          <rPr>
            <sz val="8"/>
            <color indexed="81"/>
            <rFont val="Tahoma"/>
            <family val="2"/>
          </rPr>
          <t>This is only applicable to Custom Made Blinds.
If a Shutter Bay Window is required, then please complete the appropriate Shutter diagram and submit with the Order.</t>
        </r>
      </text>
    </comment>
    <comment ref="J20" authorId="0" shapeId="0" xr:uid="{00000000-0006-0000-0100-000006000000}">
      <text>
        <r>
          <rPr>
            <sz val="8"/>
            <color indexed="81"/>
            <rFont val="Tahoma"/>
            <family val="2"/>
          </rPr>
          <t>This will auto-populate 
with "Yes" when entries are made in the CMB Bay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J7" authorId="0" shapeId="0" xr:uid="{00000000-0006-0000-0200-000001000000}">
      <text>
        <r>
          <rPr>
            <sz val="8"/>
            <color indexed="81"/>
            <rFont val="Tahoma"/>
            <family val="2"/>
          </rPr>
          <t>ACT 
Actual Measurements
You have made the allowances.
NAM
No Allowances Made 
The factory will make the deductions.</t>
        </r>
      </text>
    </comment>
    <comment ref="O7" authorId="0" shapeId="0" xr:uid="{00000000-0006-0000-0200-000002000000}">
      <text>
        <r>
          <rPr>
            <sz val="8"/>
            <color indexed="81"/>
            <rFont val="Tahoma"/>
            <family val="2"/>
          </rPr>
          <t>When left blank, 
no Cut Out applies.</t>
        </r>
      </text>
    </comment>
    <comment ref="F8" authorId="0" shapeId="0" xr:uid="{00000000-0006-0000-0200-000003000000}">
      <text>
        <r>
          <rPr>
            <sz val="8"/>
            <color indexed="81"/>
            <rFont val="Tahoma"/>
            <family val="2"/>
          </rPr>
          <t>Minimum Width is 270mm.
Maximum Width is 2700mm.
All openings over 2700mm wide will require 
multiple Blinds.</t>
        </r>
      </text>
    </comment>
    <comment ref="G8" authorId="0" shapeId="0" xr:uid="{00000000-0006-0000-0200-000004000000}">
      <text>
        <r>
          <rPr>
            <sz val="8"/>
            <color indexed="81"/>
            <rFont val="Tahoma"/>
            <family val="2"/>
          </rPr>
          <t>Maximum Height/Drop is 3600mm.</t>
        </r>
      </text>
    </comment>
    <comment ref="H8" authorId="0" shapeId="0" xr:uid="{00000000-0006-0000-0200-000005000000}">
      <text>
        <r>
          <rPr>
            <sz val="8"/>
            <color indexed="81"/>
            <rFont val="Tahoma"/>
            <family val="2"/>
          </rPr>
          <t>When selecting a
Corner or Bay Window Type, 
the CMB Corner WS or CMB Bay WS 
must be completed.</t>
        </r>
      </text>
    </comment>
    <comment ref="J8" authorId="0" shapeId="0" xr:uid="{00000000-0006-0000-0200-000006000000}">
      <text>
        <r>
          <rPr>
            <sz val="8"/>
            <color indexed="81"/>
            <rFont val="Tahoma"/>
            <family val="2"/>
          </rPr>
          <t>ACT 
Actual Measurements
You have made the allowances.
NAM
No Allowances Made 
The factory will make the deductions.</t>
        </r>
      </text>
    </comment>
    <comment ref="O8" authorId="0" shapeId="0" xr:uid="{00000000-0006-0000-0200-000007000000}">
      <text>
        <r>
          <rPr>
            <sz val="8"/>
            <color indexed="81"/>
            <rFont val="Tahoma"/>
            <family val="2"/>
          </rPr>
          <t>When Yes, Cut Out measurements must be supplied in the next cells.</t>
        </r>
      </text>
    </comment>
    <comment ref="R8" authorId="0" shapeId="0" xr:uid="{00000000-0006-0000-0200-000008000000}">
      <text>
        <r>
          <rPr>
            <sz val="8"/>
            <color indexed="81"/>
            <rFont val="Tahoma"/>
            <family val="2"/>
          </rPr>
          <t>Blind Width          Maximum Cut Out Width
270 - 299mm       80mm
300 - 400mm       90mm
401 - 527mm        110mm
528 - 850mm       140mm
  &gt; 851mm              165mm</t>
        </r>
      </text>
    </comment>
    <comment ref="T8" authorId="0" shapeId="0" xr:uid="{00000000-0006-0000-0200-000009000000}">
      <text>
        <r>
          <rPr>
            <sz val="8"/>
            <color indexed="81"/>
            <rFont val="Tahoma"/>
            <family val="2"/>
          </rPr>
          <t>Blind Width          Maximum Cut Out Width
270 - 299mm       80mm
300 - 400mm       90mm
401 - 527mm        110mm
528 - 850mm       140mm
  &gt; 851mm              165mm</t>
        </r>
      </text>
    </comment>
    <comment ref="F9" authorId="0" shapeId="0" xr:uid="{00000000-0006-0000-0200-00000A000000}">
      <text>
        <r>
          <rPr>
            <sz val="8"/>
            <color indexed="81"/>
            <rFont val="Tahoma"/>
            <family val="2"/>
          </rPr>
          <t>Minimum Width is 270mm.
Maximum Width is 2700mm.
All openings over 2700mm wide will require 
multiple Blinds.</t>
        </r>
      </text>
    </comment>
    <comment ref="G9" authorId="0" shapeId="0" xr:uid="{00000000-0006-0000-0200-00000B000000}">
      <text>
        <r>
          <rPr>
            <sz val="8"/>
            <color indexed="81"/>
            <rFont val="Tahoma"/>
            <family val="2"/>
          </rPr>
          <t>Maximum Height/Drop is 3600mm.</t>
        </r>
      </text>
    </comment>
    <comment ref="H9" authorId="0" shapeId="0" xr:uid="{00000000-0006-0000-0200-00000C000000}">
      <text>
        <r>
          <rPr>
            <sz val="8"/>
            <color indexed="81"/>
            <rFont val="Tahoma"/>
            <family val="2"/>
          </rPr>
          <t>When selecting a
Corner or Bay Window Type, 
the CMB Corner WS or CMB Bay WS 
must be completed.</t>
        </r>
      </text>
    </comment>
    <comment ref="J9" authorId="0" shapeId="0" xr:uid="{00000000-0006-0000-0200-00000D000000}">
      <text>
        <r>
          <rPr>
            <sz val="8"/>
            <color indexed="81"/>
            <rFont val="Tahoma"/>
            <family val="2"/>
          </rPr>
          <t>ACT 
Actual Measurements
You have made the allowances.
NAM
No Allowances Made 
The factory will make the deductions.</t>
        </r>
      </text>
    </comment>
    <comment ref="O9" authorId="0" shapeId="0" xr:uid="{00000000-0006-0000-0200-00000E000000}">
      <text>
        <r>
          <rPr>
            <sz val="8"/>
            <color indexed="81"/>
            <rFont val="Tahoma"/>
            <family val="2"/>
          </rPr>
          <t>When Yes, Cut Out measurements must be supplied in the next cells.</t>
        </r>
      </text>
    </comment>
    <comment ref="R9" authorId="0" shapeId="0" xr:uid="{00000000-0006-0000-0200-00000F000000}">
      <text>
        <r>
          <rPr>
            <sz val="8"/>
            <color indexed="81"/>
            <rFont val="Tahoma"/>
            <family val="2"/>
          </rPr>
          <t>Blind Width          Maximum Cut Out Width
270 - 299mm       80mm
300 - 400mm       90mm
401 - 527mm        110mm
528 - 850mm       140mm
  &gt; 851mm              165mm</t>
        </r>
      </text>
    </comment>
    <comment ref="T9" authorId="0" shapeId="0" xr:uid="{00000000-0006-0000-0200-000010000000}">
      <text>
        <r>
          <rPr>
            <sz val="8"/>
            <color indexed="81"/>
            <rFont val="Tahoma"/>
            <family val="2"/>
          </rPr>
          <t>Blind Width          Maximum Cut Out Width
270 - 299mm       80mm
300 - 400mm       90mm
401 - 527mm        110mm
528 - 850mm       140mm
  &gt; 851mm              165mm</t>
        </r>
      </text>
    </comment>
    <comment ref="F10" authorId="0" shapeId="0" xr:uid="{00000000-0006-0000-0200-000011000000}">
      <text>
        <r>
          <rPr>
            <sz val="8"/>
            <color indexed="81"/>
            <rFont val="Tahoma"/>
            <family val="2"/>
          </rPr>
          <t>Minimum Width is 270mm.
Maximum Width is 2700mm.
All openings over 2700mm wide will require 
multiple Blinds.</t>
        </r>
      </text>
    </comment>
    <comment ref="G10" authorId="0" shapeId="0" xr:uid="{00000000-0006-0000-0200-000012000000}">
      <text>
        <r>
          <rPr>
            <sz val="8"/>
            <color indexed="81"/>
            <rFont val="Tahoma"/>
            <family val="2"/>
          </rPr>
          <t>Maximum Height/Drop is 3600mm.</t>
        </r>
      </text>
    </comment>
    <comment ref="H10" authorId="0" shapeId="0" xr:uid="{00000000-0006-0000-0200-000013000000}">
      <text>
        <r>
          <rPr>
            <sz val="8"/>
            <color indexed="81"/>
            <rFont val="Tahoma"/>
            <family val="2"/>
          </rPr>
          <t>When selecting a
Corner or Bay Window Type, 
the CMB Corner WS or CMB Bay WS 
must be completed.</t>
        </r>
      </text>
    </comment>
    <comment ref="J10" authorId="0" shapeId="0" xr:uid="{00000000-0006-0000-0200-000014000000}">
      <text>
        <r>
          <rPr>
            <sz val="8"/>
            <color indexed="81"/>
            <rFont val="Tahoma"/>
            <family val="2"/>
          </rPr>
          <t>ACT 
Actual Measurements
You have made the allowances.
NAM
No Allowances Made 
The factory will make the deductions.</t>
        </r>
      </text>
    </comment>
    <comment ref="O10" authorId="0" shapeId="0" xr:uid="{00000000-0006-0000-0200-000015000000}">
      <text>
        <r>
          <rPr>
            <sz val="8"/>
            <color indexed="81"/>
            <rFont val="Tahoma"/>
            <family val="2"/>
          </rPr>
          <t>When Yes, Cut Out measurements must be supplied in the next cells.</t>
        </r>
      </text>
    </comment>
    <comment ref="R10" authorId="0" shapeId="0" xr:uid="{00000000-0006-0000-0200-000016000000}">
      <text>
        <r>
          <rPr>
            <sz val="8"/>
            <color indexed="81"/>
            <rFont val="Tahoma"/>
            <family val="2"/>
          </rPr>
          <t>Blind Width          Maximum Cut Out Width
270 - 299mm       80mm
300 - 400mm       90mm
401 - 527mm        110mm
528 - 850mm       140mm
  &gt; 851mm              165mm</t>
        </r>
      </text>
    </comment>
    <comment ref="T10" authorId="0" shapeId="0" xr:uid="{00000000-0006-0000-0200-000017000000}">
      <text>
        <r>
          <rPr>
            <sz val="8"/>
            <color indexed="81"/>
            <rFont val="Tahoma"/>
            <family val="2"/>
          </rPr>
          <t>Blind Width          Maximum Cut Out Width
270 - 299mm       80mm
300 - 400mm       90mm
401 - 527mm        110mm
528 - 850mm       140mm
  &gt; 851mm              165mm</t>
        </r>
      </text>
    </comment>
    <comment ref="F11" authorId="0" shapeId="0" xr:uid="{00000000-0006-0000-0200-000018000000}">
      <text>
        <r>
          <rPr>
            <sz val="8"/>
            <color indexed="81"/>
            <rFont val="Tahoma"/>
            <family val="2"/>
          </rPr>
          <t>Minimum Width is 270mm.
Maximum Width is 2700mm.
All openings over 2700mm wide will require 
multiple Blinds.</t>
        </r>
      </text>
    </comment>
    <comment ref="G11" authorId="0" shapeId="0" xr:uid="{00000000-0006-0000-0200-000019000000}">
      <text>
        <r>
          <rPr>
            <sz val="8"/>
            <color indexed="81"/>
            <rFont val="Tahoma"/>
            <family val="2"/>
          </rPr>
          <t>Maximum Height/Drop is 3600mm.</t>
        </r>
      </text>
    </comment>
    <comment ref="H11" authorId="0" shapeId="0" xr:uid="{00000000-0006-0000-0200-00001A000000}">
      <text>
        <r>
          <rPr>
            <sz val="8"/>
            <color indexed="81"/>
            <rFont val="Tahoma"/>
            <family val="2"/>
          </rPr>
          <t>When selecting a
Corner or Bay Window Type, 
the CMB Corner WS or CMB Bay WS 
must be completed.</t>
        </r>
      </text>
    </comment>
    <comment ref="J11" authorId="0" shapeId="0" xr:uid="{00000000-0006-0000-0200-00001B000000}">
      <text>
        <r>
          <rPr>
            <sz val="8"/>
            <color indexed="81"/>
            <rFont val="Tahoma"/>
            <family val="2"/>
          </rPr>
          <t>ACT 
Actual Measurements
You have made the allowances.
NAM
No Allowances Made 
The factory will make the deductions.</t>
        </r>
      </text>
    </comment>
    <comment ref="O11" authorId="0" shapeId="0" xr:uid="{00000000-0006-0000-0200-00001C000000}">
      <text>
        <r>
          <rPr>
            <sz val="8"/>
            <color indexed="81"/>
            <rFont val="Tahoma"/>
            <family val="2"/>
          </rPr>
          <t>When Yes, Cut Out measurements must be supplied in the next cells.</t>
        </r>
      </text>
    </comment>
    <comment ref="R11" authorId="0" shapeId="0" xr:uid="{00000000-0006-0000-0200-00001D000000}">
      <text>
        <r>
          <rPr>
            <sz val="8"/>
            <color indexed="81"/>
            <rFont val="Tahoma"/>
            <family val="2"/>
          </rPr>
          <t>Blind Width          Maximum Cut Out Width
270 - 299mm       80mm
300 - 400mm       90mm
401 - 527mm        110mm
528 - 850mm       140mm
  &gt; 851mm              165mm</t>
        </r>
      </text>
    </comment>
    <comment ref="T11" authorId="0" shapeId="0" xr:uid="{00000000-0006-0000-0200-00001E000000}">
      <text>
        <r>
          <rPr>
            <sz val="8"/>
            <color indexed="81"/>
            <rFont val="Tahoma"/>
            <family val="2"/>
          </rPr>
          <t>Blind Width          Maximum Cut Out Width
270 - 299mm       80mm
300 - 400mm       90mm
401 - 527mm        110mm
528 - 850mm       140mm
  &gt; 851mm              165mm</t>
        </r>
      </text>
    </comment>
    <comment ref="F12" authorId="0" shapeId="0" xr:uid="{00000000-0006-0000-0200-00001F000000}">
      <text>
        <r>
          <rPr>
            <sz val="8"/>
            <color indexed="81"/>
            <rFont val="Tahoma"/>
            <family val="2"/>
          </rPr>
          <t>Minimum Width is 270mm.
Maximum Width is 2700mm.
All openings over 2700mm wide will require 
multiple Blinds.</t>
        </r>
      </text>
    </comment>
    <comment ref="G12" authorId="0" shapeId="0" xr:uid="{00000000-0006-0000-0200-000020000000}">
      <text>
        <r>
          <rPr>
            <sz val="8"/>
            <color indexed="81"/>
            <rFont val="Tahoma"/>
            <family val="2"/>
          </rPr>
          <t>Maximum Height/Drop is 3600mm.</t>
        </r>
      </text>
    </comment>
    <comment ref="H12" authorId="0" shapeId="0" xr:uid="{00000000-0006-0000-0200-000021000000}">
      <text>
        <r>
          <rPr>
            <sz val="8"/>
            <color indexed="81"/>
            <rFont val="Tahoma"/>
            <family val="2"/>
          </rPr>
          <t>When selecting a
Corner or Bay Window Type, 
the CMB Corner WS or CMB Bay WS 
must be completed.</t>
        </r>
      </text>
    </comment>
    <comment ref="J12" authorId="0" shapeId="0" xr:uid="{00000000-0006-0000-0200-000022000000}">
      <text>
        <r>
          <rPr>
            <sz val="8"/>
            <color indexed="81"/>
            <rFont val="Tahoma"/>
            <family val="2"/>
          </rPr>
          <t>ACT 
Actual Measurements
You have made the allowances.
NAM
No Allowances Made 
The factory will make the deductions.</t>
        </r>
      </text>
    </comment>
    <comment ref="O12" authorId="0" shapeId="0" xr:uid="{00000000-0006-0000-0200-000023000000}">
      <text>
        <r>
          <rPr>
            <sz val="8"/>
            <color indexed="81"/>
            <rFont val="Tahoma"/>
            <family val="2"/>
          </rPr>
          <t>When Yes, Cut Out measurements must be supplied in the next cells.</t>
        </r>
      </text>
    </comment>
    <comment ref="R12" authorId="0" shapeId="0" xr:uid="{00000000-0006-0000-0200-000024000000}">
      <text>
        <r>
          <rPr>
            <sz val="8"/>
            <color indexed="81"/>
            <rFont val="Tahoma"/>
            <family val="2"/>
          </rPr>
          <t>Blind Width          Maximum Cut Out Width
270 - 299mm       80mm
300 - 400mm       90mm
401 - 527mm        110mm
528 - 850mm       140mm
  &gt; 851mm              165mm</t>
        </r>
      </text>
    </comment>
    <comment ref="T12" authorId="0" shapeId="0" xr:uid="{00000000-0006-0000-0200-000025000000}">
      <text>
        <r>
          <rPr>
            <sz val="8"/>
            <color indexed="81"/>
            <rFont val="Tahoma"/>
            <family val="2"/>
          </rPr>
          <t>Blind Width          Maximum Cut Out Width
270 - 299mm       80mm
300 - 400mm       90mm
401 - 527mm        110mm
528 - 850mm       140mm
  &gt; 851mm              165mm</t>
        </r>
      </text>
    </comment>
    <comment ref="F13" authorId="0" shapeId="0" xr:uid="{00000000-0006-0000-0200-000026000000}">
      <text>
        <r>
          <rPr>
            <sz val="8"/>
            <color indexed="81"/>
            <rFont val="Tahoma"/>
            <family val="2"/>
          </rPr>
          <t>Minimum Width is 270mm.
Maximum Width is 2700mm.
All openings over 2700mm wide will require 
multiple Blinds.</t>
        </r>
      </text>
    </comment>
    <comment ref="G13" authorId="0" shapeId="0" xr:uid="{00000000-0006-0000-0200-000027000000}">
      <text>
        <r>
          <rPr>
            <sz val="8"/>
            <color indexed="81"/>
            <rFont val="Tahoma"/>
            <family val="2"/>
          </rPr>
          <t>Maximum Height/Drop is 3600mm.</t>
        </r>
      </text>
    </comment>
    <comment ref="H13" authorId="0" shapeId="0" xr:uid="{00000000-0006-0000-0200-000028000000}">
      <text>
        <r>
          <rPr>
            <sz val="8"/>
            <color indexed="81"/>
            <rFont val="Tahoma"/>
            <family val="2"/>
          </rPr>
          <t>When selecting a
Corner or Bay Window Type, 
the CMB Corner WS or CMB Bay WS 
must be completed.</t>
        </r>
      </text>
    </comment>
    <comment ref="J13" authorId="0" shapeId="0" xr:uid="{00000000-0006-0000-0200-000029000000}">
      <text>
        <r>
          <rPr>
            <sz val="8"/>
            <color indexed="81"/>
            <rFont val="Tahoma"/>
            <family val="2"/>
          </rPr>
          <t>ACT 
Actual Measurements
You have made the allowances.
NAM
No Allowances Made 
The factory will make the deductions.</t>
        </r>
      </text>
    </comment>
    <comment ref="O13" authorId="0" shapeId="0" xr:uid="{00000000-0006-0000-0200-00002A000000}">
      <text>
        <r>
          <rPr>
            <sz val="8"/>
            <color indexed="81"/>
            <rFont val="Tahoma"/>
            <family val="2"/>
          </rPr>
          <t>When Yes, Cut Out measurements must be supplied in the next cells.</t>
        </r>
      </text>
    </comment>
    <comment ref="R13" authorId="0" shapeId="0" xr:uid="{00000000-0006-0000-0200-00002B000000}">
      <text>
        <r>
          <rPr>
            <sz val="8"/>
            <color indexed="81"/>
            <rFont val="Tahoma"/>
            <family val="2"/>
          </rPr>
          <t>Blind Width          Maximum Cut Out Width
270 - 299mm       80mm
300 - 400mm       90mm
401 - 527mm        110mm
528 - 850mm       140mm
  &gt; 851mm              165mm</t>
        </r>
      </text>
    </comment>
    <comment ref="T13" authorId="0" shapeId="0" xr:uid="{00000000-0006-0000-0200-00002C000000}">
      <text>
        <r>
          <rPr>
            <sz val="8"/>
            <color indexed="81"/>
            <rFont val="Tahoma"/>
            <family val="2"/>
          </rPr>
          <t>Blind Width          Maximum Cut Out Width
270 - 299mm       80mm
300 - 400mm       90mm
401 - 527mm        110mm
528 - 850mm       140mm
  &gt; 851mm              165mm</t>
        </r>
      </text>
    </comment>
    <comment ref="F14" authorId="0" shapeId="0" xr:uid="{00000000-0006-0000-0200-00002D000000}">
      <text>
        <r>
          <rPr>
            <sz val="8"/>
            <color indexed="81"/>
            <rFont val="Tahoma"/>
            <family val="2"/>
          </rPr>
          <t>Minimum Width is 270mm.
Maximum Width is 2700mm.
All openings over 2700mm wide will require 
multiple Blinds.</t>
        </r>
      </text>
    </comment>
    <comment ref="G14" authorId="0" shapeId="0" xr:uid="{00000000-0006-0000-0200-00002E000000}">
      <text>
        <r>
          <rPr>
            <sz val="8"/>
            <color indexed="81"/>
            <rFont val="Tahoma"/>
            <family val="2"/>
          </rPr>
          <t>Maximum Height/Drop is 3600mm.</t>
        </r>
      </text>
    </comment>
    <comment ref="H14" authorId="0" shapeId="0" xr:uid="{00000000-0006-0000-0200-00002F000000}">
      <text>
        <r>
          <rPr>
            <sz val="8"/>
            <color indexed="81"/>
            <rFont val="Tahoma"/>
            <family val="2"/>
          </rPr>
          <t>When selecting a
Corner or Bay Window Type, 
the CMB Corner WS or CMB Bay WS 
must be completed.</t>
        </r>
      </text>
    </comment>
    <comment ref="J14" authorId="0" shapeId="0" xr:uid="{00000000-0006-0000-0200-000030000000}">
      <text>
        <r>
          <rPr>
            <sz val="8"/>
            <color indexed="81"/>
            <rFont val="Tahoma"/>
            <family val="2"/>
          </rPr>
          <t>ACT 
Actual Measurements
You have made the allowances.
NAM
No Allowances Made 
The factory will make the deductions.</t>
        </r>
      </text>
    </comment>
    <comment ref="O14" authorId="0" shapeId="0" xr:uid="{00000000-0006-0000-0200-000031000000}">
      <text>
        <r>
          <rPr>
            <sz val="8"/>
            <color indexed="81"/>
            <rFont val="Tahoma"/>
            <family val="2"/>
          </rPr>
          <t>When Yes, Cut Out measurements must be supplied in the next cells.</t>
        </r>
      </text>
    </comment>
    <comment ref="R14" authorId="0" shapeId="0" xr:uid="{00000000-0006-0000-0200-000032000000}">
      <text>
        <r>
          <rPr>
            <sz val="8"/>
            <color indexed="81"/>
            <rFont val="Tahoma"/>
            <family val="2"/>
          </rPr>
          <t>Blind Width          Maximum Cut Out Width
270 - 299mm       80mm
300 - 400mm       90mm
401 - 527mm        110mm
528 - 850mm       140mm
  &gt; 851mm              165mm</t>
        </r>
      </text>
    </comment>
    <comment ref="T14" authorId="0" shapeId="0" xr:uid="{00000000-0006-0000-0200-000033000000}">
      <text>
        <r>
          <rPr>
            <sz val="8"/>
            <color indexed="81"/>
            <rFont val="Tahoma"/>
            <family val="2"/>
          </rPr>
          <t>Blind Width          Maximum Cut Out Width
270 - 299mm       80mm
300 - 400mm       90mm
401 - 527mm        110mm
528 - 850mm       140mm
  &gt; 851mm              165mm</t>
        </r>
      </text>
    </comment>
    <comment ref="F15" authorId="0" shapeId="0" xr:uid="{00000000-0006-0000-0200-000034000000}">
      <text>
        <r>
          <rPr>
            <sz val="8"/>
            <color indexed="81"/>
            <rFont val="Tahoma"/>
            <family val="2"/>
          </rPr>
          <t>Minimum Width is 270mm.
Maximum Width is 2700mm.
All openings over 2700mm wide will require 
multiple Blinds.</t>
        </r>
      </text>
    </comment>
    <comment ref="G15" authorId="0" shapeId="0" xr:uid="{00000000-0006-0000-0200-000035000000}">
      <text>
        <r>
          <rPr>
            <sz val="8"/>
            <color indexed="81"/>
            <rFont val="Tahoma"/>
            <family val="2"/>
          </rPr>
          <t>Maximum Height/Drop is 3600mm.</t>
        </r>
      </text>
    </comment>
    <comment ref="H15" authorId="0" shapeId="0" xr:uid="{00000000-0006-0000-0200-000036000000}">
      <text>
        <r>
          <rPr>
            <sz val="8"/>
            <color indexed="81"/>
            <rFont val="Tahoma"/>
            <family val="2"/>
          </rPr>
          <t>When selecting a
Corner or Bay Window Type, 
the CMB Corner WS or CMB Bay WS 
must be completed.</t>
        </r>
      </text>
    </comment>
    <comment ref="J15" authorId="0" shapeId="0" xr:uid="{00000000-0006-0000-0200-000037000000}">
      <text>
        <r>
          <rPr>
            <sz val="8"/>
            <color indexed="81"/>
            <rFont val="Tahoma"/>
            <family val="2"/>
          </rPr>
          <t>ACT 
Actual Measurements
You have made the allowances.
NAM
No Allowances Made 
The factory will make the deductions.</t>
        </r>
      </text>
    </comment>
    <comment ref="O15" authorId="0" shapeId="0" xr:uid="{00000000-0006-0000-0200-000038000000}">
      <text>
        <r>
          <rPr>
            <sz val="8"/>
            <color indexed="81"/>
            <rFont val="Tahoma"/>
            <family val="2"/>
          </rPr>
          <t>When Yes, Cut Out measurements must be supplied in the next cells.</t>
        </r>
      </text>
    </comment>
    <comment ref="R15" authorId="0" shapeId="0" xr:uid="{00000000-0006-0000-0200-000039000000}">
      <text>
        <r>
          <rPr>
            <sz val="8"/>
            <color indexed="81"/>
            <rFont val="Tahoma"/>
            <family val="2"/>
          </rPr>
          <t>Blind Width          Maximum Cut Out Width
270 - 299mm       80mm
300 - 400mm       90mm
401 - 527mm        110mm
528 - 850mm       140mm
  &gt; 851mm              165mm</t>
        </r>
      </text>
    </comment>
    <comment ref="T15" authorId="0" shapeId="0" xr:uid="{00000000-0006-0000-0200-00003A000000}">
      <text>
        <r>
          <rPr>
            <sz val="8"/>
            <color indexed="81"/>
            <rFont val="Tahoma"/>
            <family val="2"/>
          </rPr>
          <t>Blind Width          Maximum Cut Out Width
270 - 299mm       80mm
300 - 400mm       90mm
401 - 527mm        110mm
528 - 850mm       140mm
  &gt; 851mm              165mm</t>
        </r>
      </text>
    </comment>
    <comment ref="F16" authorId="0" shapeId="0" xr:uid="{00000000-0006-0000-0200-00003B000000}">
      <text>
        <r>
          <rPr>
            <sz val="8"/>
            <color indexed="81"/>
            <rFont val="Tahoma"/>
            <family val="2"/>
          </rPr>
          <t>Minimum Width is 270mm.
Maximum Width is 2700mm.
All openings over 2700mm wide will require 
multiple Blinds.</t>
        </r>
      </text>
    </comment>
    <comment ref="G16" authorId="0" shapeId="0" xr:uid="{00000000-0006-0000-0200-00003C000000}">
      <text>
        <r>
          <rPr>
            <sz val="8"/>
            <color indexed="81"/>
            <rFont val="Tahoma"/>
            <family val="2"/>
          </rPr>
          <t>Maximum Height/Drop is 3600mm.</t>
        </r>
      </text>
    </comment>
    <comment ref="H16" authorId="0" shapeId="0" xr:uid="{00000000-0006-0000-0200-00003D000000}">
      <text>
        <r>
          <rPr>
            <sz val="8"/>
            <color indexed="81"/>
            <rFont val="Tahoma"/>
            <family val="2"/>
          </rPr>
          <t>When selecting a
Corner or Bay Window Type, 
the CMB Corner WS or CMB Bay WS 
must be completed.</t>
        </r>
      </text>
    </comment>
    <comment ref="J16" authorId="0" shapeId="0" xr:uid="{00000000-0006-0000-0200-00003E000000}">
      <text>
        <r>
          <rPr>
            <sz val="8"/>
            <color indexed="81"/>
            <rFont val="Tahoma"/>
            <family val="2"/>
          </rPr>
          <t>ACT 
Actual Measurements
You have made the allowances.
NAM
No Allowances Made 
The factory will make the deductions.</t>
        </r>
      </text>
    </comment>
    <comment ref="O16" authorId="0" shapeId="0" xr:uid="{00000000-0006-0000-0200-00003F000000}">
      <text>
        <r>
          <rPr>
            <sz val="8"/>
            <color indexed="81"/>
            <rFont val="Tahoma"/>
            <family val="2"/>
          </rPr>
          <t>When Yes, Cut Out measurements must be supplied in the next cells.</t>
        </r>
      </text>
    </comment>
    <comment ref="R16" authorId="0" shapeId="0" xr:uid="{00000000-0006-0000-0200-000040000000}">
      <text>
        <r>
          <rPr>
            <sz val="8"/>
            <color indexed="81"/>
            <rFont val="Tahoma"/>
            <family val="2"/>
          </rPr>
          <t>Blind Width          Maximum Cut Out Width
270 - 299mm       80mm
300 - 400mm       90mm
401 - 527mm        110mm
528 - 850mm       140mm
  &gt; 851mm              165mm</t>
        </r>
      </text>
    </comment>
    <comment ref="T16" authorId="0" shapeId="0" xr:uid="{00000000-0006-0000-0200-000041000000}">
      <text>
        <r>
          <rPr>
            <sz val="8"/>
            <color indexed="81"/>
            <rFont val="Tahoma"/>
            <family val="2"/>
          </rPr>
          <t>Blind Width          Maximum Cut Out Width
270 - 299mm       80mm
300 - 400mm       90mm
401 - 527mm        110mm
528 - 850mm       140mm
  &gt; 851mm              165mm</t>
        </r>
      </text>
    </comment>
    <comment ref="F17" authorId="0" shapeId="0" xr:uid="{00000000-0006-0000-0200-000042000000}">
      <text>
        <r>
          <rPr>
            <sz val="8"/>
            <color indexed="81"/>
            <rFont val="Tahoma"/>
            <family val="2"/>
          </rPr>
          <t>Minimum Width is 270mm.
Maximum Width is 2700mm.
All openings over 2700mm wide will require 
multiple Blinds.</t>
        </r>
      </text>
    </comment>
    <comment ref="G17" authorId="0" shapeId="0" xr:uid="{00000000-0006-0000-0200-000043000000}">
      <text>
        <r>
          <rPr>
            <sz val="8"/>
            <color indexed="81"/>
            <rFont val="Tahoma"/>
            <family val="2"/>
          </rPr>
          <t>Maximum Height/Drop is 3600mm.</t>
        </r>
      </text>
    </comment>
    <comment ref="H17" authorId="0" shapeId="0" xr:uid="{00000000-0006-0000-0200-000044000000}">
      <text>
        <r>
          <rPr>
            <sz val="8"/>
            <color indexed="81"/>
            <rFont val="Tahoma"/>
            <family val="2"/>
          </rPr>
          <t>When selecting a
Corner or Bay Window Type, 
the CMB Corner WS or CMB Bay WS 
must be completed.</t>
        </r>
      </text>
    </comment>
    <comment ref="J17" authorId="0" shapeId="0" xr:uid="{00000000-0006-0000-0200-000045000000}">
      <text>
        <r>
          <rPr>
            <sz val="8"/>
            <color indexed="81"/>
            <rFont val="Tahoma"/>
            <family val="2"/>
          </rPr>
          <t>ACT 
Actual Measurements
You have made the allowances.
NAM
No Allowances Made 
The factory will make the deductions.</t>
        </r>
      </text>
    </comment>
    <comment ref="O17" authorId="0" shapeId="0" xr:uid="{00000000-0006-0000-0200-000046000000}">
      <text>
        <r>
          <rPr>
            <sz val="8"/>
            <color indexed="81"/>
            <rFont val="Tahoma"/>
            <family val="2"/>
          </rPr>
          <t>When Yes, Cut Out measurements must be supplied in the next cells.</t>
        </r>
      </text>
    </comment>
    <comment ref="R17" authorId="0" shapeId="0" xr:uid="{00000000-0006-0000-0200-000047000000}">
      <text>
        <r>
          <rPr>
            <sz val="8"/>
            <color indexed="81"/>
            <rFont val="Tahoma"/>
            <family val="2"/>
          </rPr>
          <t>Blind Width          Maximum Cut Out Width
270 - 299mm       80mm
300 - 400mm       90mm
401 - 527mm        110mm
528 - 850mm       140mm
  &gt; 851mm              165mm</t>
        </r>
      </text>
    </comment>
    <comment ref="T17" authorId="0" shapeId="0" xr:uid="{00000000-0006-0000-0200-000048000000}">
      <text>
        <r>
          <rPr>
            <sz val="8"/>
            <color indexed="81"/>
            <rFont val="Tahoma"/>
            <family val="2"/>
          </rPr>
          <t>Blind Width          Maximum Cut Out Width
270 - 299mm       80mm
300 - 400mm       90mm
401 - 527mm        110mm
528 - 850mm       140mm
  &gt; 851mm              165mm</t>
        </r>
      </text>
    </comment>
    <comment ref="F18" authorId="0" shapeId="0" xr:uid="{00000000-0006-0000-0200-000049000000}">
      <text>
        <r>
          <rPr>
            <sz val="8"/>
            <color indexed="81"/>
            <rFont val="Tahoma"/>
            <family val="2"/>
          </rPr>
          <t>Minimum Width is 270mm.
Maximum Width is 2700mm.
All openings over 2700mm wide will require 
multiple Blinds.</t>
        </r>
      </text>
    </comment>
    <comment ref="G18" authorId="0" shapeId="0" xr:uid="{00000000-0006-0000-0200-00004A000000}">
      <text>
        <r>
          <rPr>
            <sz val="8"/>
            <color indexed="81"/>
            <rFont val="Tahoma"/>
            <family val="2"/>
          </rPr>
          <t>Maximum Height/Drop is 3600mm.</t>
        </r>
      </text>
    </comment>
    <comment ref="H18" authorId="0" shapeId="0" xr:uid="{00000000-0006-0000-0200-00004B000000}">
      <text>
        <r>
          <rPr>
            <sz val="8"/>
            <color indexed="81"/>
            <rFont val="Tahoma"/>
            <family val="2"/>
          </rPr>
          <t>When selecting a
Corner or Bay Window Type, 
the CMB Corner WS or CMB Bay WS 
must be completed.</t>
        </r>
      </text>
    </comment>
    <comment ref="J18" authorId="0" shapeId="0" xr:uid="{00000000-0006-0000-0200-00004C000000}">
      <text>
        <r>
          <rPr>
            <sz val="8"/>
            <color indexed="81"/>
            <rFont val="Tahoma"/>
            <family val="2"/>
          </rPr>
          <t>ACT 
Actual Measurements
You have made the allowances.
NAM
No Allowances Made 
The factory will make the deductions.</t>
        </r>
      </text>
    </comment>
    <comment ref="O18" authorId="0" shapeId="0" xr:uid="{00000000-0006-0000-0200-00004D000000}">
      <text>
        <r>
          <rPr>
            <sz val="8"/>
            <color indexed="81"/>
            <rFont val="Tahoma"/>
            <family val="2"/>
          </rPr>
          <t>When Yes, Cut Out measurements must be supplied in the next cells.</t>
        </r>
      </text>
    </comment>
    <comment ref="R18" authorId="0" shapeId="0" xr:uid="{00000000-0006-0000-0200-00004E000000}">
      <text>
        <r>
          <rPr>
            <sz val="8"/>
            <color indexed="81"/>
            <rFont val="Tahoma"/>
            <family val="2"/>
          </rPr>
          <t>Blind Width          Maximum Cut Out Width
270 - 299mm       80mm
300 - 400mm       90mm
401 - 527mm        110mm
528 - 850mm       140mm
  &gt; 851mm              165mm</t>
        </r>
      </text>
    </comment>
    <comment ref="T18" authorId="0" shapeId="0" xr:uid="{00000000-0006-0000-0200-00004F000000}">
      <text>
        <r>
          <rPr>
            <sz val="8"/>
            <color indexed="81"/>
            <rFont val="Tahoma"/>
            <family val="2"/>
          </rPr>
          <t>Blind Width          Maximum Cut Out Width
270 - 299mm       80mm
300 - 400mm       90mm
401 - 527mm        110mm
528 - 850mm       140mm
  &gt; 851mm              165mm</t>
        </r>
      </text>
    </comment>
    <comment ref="F19" authorId="0" shapeId="0" xr:uid="{00000000-0006-0000-0200-000050000000}">
      <text>
        <r>
          <rPr>
            <sz val="8"/>
            <color indexed="81"/>
            <rFont val="Tahoma"/>
            <family val="2"/>
          </rPr>
          <t>Minimum Width is 270mm.
Maximum Width is 2700mm.
All openings over 2700mm wide will require 
multiple Blinds.</t>
        </r>
      </text>
    </comment>
    <comment ref="G19" authorId="0" shapeId="0" xr:uid="{00000000-0006-0000-0200-000051000000}">
      <text>
        <r>
          <rPr>
            <sz val="8"/>
            <color indexed="81"/>
            <rFont val="Tahoma"/>
            <family val="2"/>
          </rPr>
          <t>Maximum Height/Drop is 3600mm.</t>
        </r>
      </text>
    </comment>
    <comment ref="H19" authorId="0" shapeId="0" xr:uid="{00000000-0006-0000-0200-000052000000}">
      <text>
        <r>
          <rPr>
            <sz val="8"/>
            <color indexed="81"/>
            <rFont val="Tahoma"/>
            <family val="2"/>
          </rPr>
          <t>When selecting a
Corner or Bay Window Type, 
the CMB Corner WS or CMB Bay WS 
must be completed.</t>
        </r>
      </text>
    </comment>
    <comment ref="J19" authorId="0" shapeId="0" xr:uid="{00000000-0006-0000-0200-000053000000}">
      <text>
        <r>
          <rPr>
            <sz val="8"/>
            <color indexed="81"/>
            <rFont val="Tahoma"/>
            <family val="2"/>
          </rPr>
          <t>ACT 
Actual Measurements
You have made the allowances.
NAM
No Allowances Made 
The factory will make the deductions.</t>
        </r>
      </text>
    </comment>
    <comment ref="O19" authorId="0" shapeId="0" xr:uid="{00000000-0006-0000-0200-000054000000}">
      <text>
        <r>
          <rPr>
            <sz val="8"/>
            <color indexed="81"/>
            <rFont val="Tahoma"/>
            <family val="2"/>
          </rPr>
          <t>When Yes, Cut Out measurements must be supplied in the next cells.</t>
        </r>
      </text>
    </comment>
    <comment ref="R19" authorId="0" shapeId="0" xr:uid="{00000000-0006-0000-0200-000055000000}">
      <text>
        <r>
          <rPr>
            <sz val="8"/>
            <color indexed="81"/>
            <rFont val="Tahoma"/>
            <family val="2"/>
          </rPr>
          <t>Blind Width          Maximum Cut Out Width
270 - 299mm       80mm
300 - 400mm       90mm
401 - 527mm        110mm
528 - 850mm       140mm
  &gt; 851mm              165mm</t>
        </r>
      </text>
    </comment>
    <comment ref="T19" authorId="0" shapeId="0" xr:uid="{00000000-0006-0000-0200-000056000000}">
      <text>
        <r>
          <rPr>
            <sz val="8"/>
            <color indexed="81"/>
            <rFont val="Tahoma"/>
            <family val="2"/>
          </rPr>
          <t>Blind Width          Maximum Cut Out Width
270 - 299mm       80mm
300 - 400mm       90mm
401 - 527mm        110mm
528 - 850mm       140mm
  &gt; 851mm              165mm</t>
        </r>
      </text>
    </comment>
    <comment ref="F20" authorId="0" shapeId="0" xr:uid="{00000000-0006-0000-0200-000057000000}">
      <text>
        <r>
          <rPr>
            <sz val="8"/>
            <color indexed="81"/>
            <rFont val="Tahoma"/>
            <family val="2"/>
          </rPr>
          <t>Minimum Width is 270mm.
Maximum Width is 2700mm.
All openings over 2700mm wide will require 
multiple Blinds.</t>
        </r>
      </text>
    </comment>
    <comment ref="G20" authorId="0" shapeId="0" xr:uid="{00000000-0006-0000-0200-000058000000}">
      <text>
        <r>
          <rPr>
            <sz val="8"/>
            <color indexed="81"/>
            <rFont val="Tahoma"/>
            <family val="2"/>
          </rPr>
          <t>Maximum Height/Drop is 3600mm.</t>
        </r>
      </text>
    </comment>
    <comment ref="H20" authorId="0" shapeId="0" xr:uid="{00000000-0006-0000-0200-000059000000}">
      <text>
        <r>
          <rPr>
            <sz val="8"/>
            <color indexed="81"/>
            <rFont val="Tahoma"/>
            <family val="2"/>
          </rPr>
          <t>When selecting a
Corner or Bay Window Type, 
the CMB Corner WS or CMB Bay WS 
must be completed.</t>
        </r>
      </text>
    </comment>
    <comment ref="J20" authorId="0" shapeId="0" xr:uid="{00000000-0006-0000-0200-00005A000000}">
      <text>
        <r>
          <rPr>
            <sz val="8"/>
            <color indexed="81"/>
            <rFont val="Tahoma"/>
            <family val="2"/>
          </rPr>
          <t>ACT 
Actual Measurements
You have made the allowances.
NAM
No Allowances Made 
The factory will make the deductions.</t>
        </r>
      </text>
    </comment>
    <comment ref="O20" authorId="0" shapeId="0" xr:uid="{00000000-0006-0000-0200-00005B000000}">
      <text>
        <r>
          <rPr>
            <sz val="8"/>
            <color indexed="81"/>
            <rFont val="Tahoma"/>
            <family val="2"/>
          </rPr>
          <t>When Yes, Cut Out measurements must be supplied in the next cells.</t>
        </r>
      </text>
    </comment>
    <comment ref="R20" authorId="0" shapeId="0" xr:uid="{00000000-0006-0000-0200-00005C000000}">
      <text>
        <r>
          <rPr>
            <sz val="8"/>
            <color indexed="81"/>
            <rFont val="Tahoma"/>
            <family val="2"/>
          </rPr>
          <t>Blind Width          Maximum Cut Out Width
270 - 299mm       80mm
300 - 400mm       90mm
401 - 527mm        110mm
528 - 850mm       140mm
  &gt; 851mm              165mm</t>
        </r>
      </text>
    </comment>
    <comment ref="T20" authorId="0" shapeId="0" xr:uid="{00000000-0006-0000-0200-00005D000000}">
      <text>
        <r>
          <rPr>
            <sz val="8"/>
            <color indexed="81"/>
            <rFont val="Tahoma"/>
            <family val="2"/>
          </rPr>
          <t>Blind Width          Maximum Cut Out Width
270 - 299mm       80mm
300 - 400mm       90mm
401 - 527mm        110mm
528 - 850mm       140mm
  &gt; 851mm              165mm</t>
        </r>
      </text>
    </comment>
    <comment ref="F21" authorId="0" shapeId="0" xr:uid="{00000000-0006-0000-0200-00005E000000}">
      <text>
        <r>
          <rPr>
            <sz val="8"/>
            <color indexed="81"/>
            <rFont val="Tahoma"/>
            <family val="2"/>
          </rPr>
          <t>Minimum Width is 270mm.
Maximum Width is 2700mm.
All openings over 2700mm wide will require 
multiple Blinds.</t>
        </r>
      </text>
    </comment>
    <comment ref="G21" authorId="0" shapeId="0" xr:uid="{00000000-0006-0000-0200-00005F000000}">
      <text>
        <r>
          <rPr>
            <sz val="8"/>
            <color indexed="81"/>
            <rFont val="Tahoma"/>
            <family val="2"/>
          </rPr>
          <t>Maximum Height/Drop is 3600mm.</t>
        </r>
      </text>
    </comment>
    <comment ref="H21" authorId="0" shapeId="0" xr:uid="{00000000-0006-0000-0200-000060000000}">
      <text>
        <r>
          <rPr>
            <sz val="8"/>
            <color indexed="81"/>
            <rFont val="Tahoma"/>
            <family val="2"/>
          </rPr>
          <t>When selecting a
Corner or Bay Window Type, 
the CMB Corner WS or CMB Bay WS 
must be completed.</t>
        </r>
      </text>
    </comment>
    <comment ref="J21" authorId="0" shapeId="0" xr:uid="{00000000-0006-0000-0200-000061000000}">
      <text>
        <r>
          <rPr>
            <sz val="8"/>
            <color indexed="81"/>
            <rFont val="Tahoma"/>
            <family val="2"/>
          </rPr>
          <t>ACT 
Actual Measurements
You have made the allowances.
NAM
No Allowances Made 
The factory will make the deductions.</t>
        </r>
      </text>
    </comment>
    <comment ref="O21" authorId="0" shapeId="0" xr:uid="{00000000-0006-0000-0200-000062000000}">
      <text>
        <r>
          <rPr>
            <sz val="8"/>
            <color indexed="81"/>
            <rFont val="Tahoma"/>
            <family val="2"/>
          </rPr>
          <t>When Yes, Cut Out measurements must be supplied in the next cells.</t>
        </r>
      </text>
    </comment>
    <comment ref="R21" authorId="0" shapeId="0" xr:uid="{00000000-0006-0000-0200-000063000000}">
      <text>
        <r>
          <rPr>
            <sz val="8"/>
            <color indexed="81"/>
            <rFont val="Tahoma"/>
            <family val="2"/>
          </rPr>
          <t>Blind Width          Maximum Cut Out Width
270 - 299mm       80mm
300 - 400mm       90mm
401 - 527mm        110mm
528 - 850mm       140mm
  &gt; 851mm              165mm</t>
        </r>
      </text>
    </comment>
    <comment ref="T21" authorId="0" shapeId="0" xr:uid="{00000000-0006-0000-0200-000064000000}">
      <text>
        <r>
          <rPr>
            <sz val="8"/>
            <color indexed="81"/>
            <rFont val="Tahoma"/>
            <family val="2"/>
          </rPr>
          <t>Blind Width          Maximum Cut Out Width
270 - 299mm       80mm
300 - 400mm       90mm
401 - 527mm        110mm
528 - 850mm       140mm
  &gt; 851mm              165mm</t>
        </r>
      </text>
    </comment>
    <comment ref="F22" authorId="0" shapeId="0" xr:uid="{00000000-0006-0000-0200-000065000000}">
      <text>
        <r>
          <rPr>
            <sz val="8"/>
            <color indexed="81"/>
            <rFont val="Tahoma"/>
            <family val="2"/>
          </rPr>
          <t>Minimum Width is 270mm.
Maximum Width is 2700mm.
All openings over 2700mm wide will require 
multiple Blinds.</t>
        </r>
      </text>
    </comment>
    <comment ref="G22" authorId="0" shapeId="0" xr:uid="{00000000-0006-0000-0200-000066000000}">
      <text>
        <r>
          <rPr>
            <sz val="8"/>
            <color indexed="81"/>
            <rFont val="Tahoma"/>
            <family val="2"/>
          </rPr>
          <t>Maximum Height/Drop is 3600mm.</t>
        </r>
      </text>
    </comment>
    <comment ref="H22" authorId="0" shapeId="0" xr:uid="{00000000-0006-0000-0200-000067000000}">
      <text>
        <r>
          <rPr>
            <sz val="8"/>
            <color indexed="81"/>
            <rFont val="Tahoma"/>
            <family val="2"/>
          </rPr>
          <t>When selecting a
Corner or Bay Window Type, 
the CMB Corner WS or CMB Bay WS 
must be completed.</t>
        </r>
      </text>
    </comment>
    <comment ref="J22" authorId="0" shapeId="0" xr:uid="{00000000-0006-0000-0200-000068000000}">
      <text>
        <r>
          <rPr>
            <sz val="8"/>
            <color indexed="81"/>
            <rFont val="Tahoma"/>
            <family val="2"/>
          </rPr>
          <t>ACT 
Actual Measurements
You have made the allowances.
NAM
No Allowances Made 
The factory will make the deductions.</t>
        </r>
      </text>
    </comment>
    <comment ref="O22" authorId="0" shapeId="0" xr:uid="{00000000-0006-0000-0200-000069000000}">
      <text>
        <r>
          <rPr>
            <sz val="8"/>
            <color indexed="81"/>
            <rFont val="Tahoma"/>
            <family val="2"/>
          </rPr>
          <t>When Yes, Cut Out measurements must be supplied in the next cells.</t>
        </r>
      </text>
    </comment>
    <comment ref="R22" authorId="0" shapeId="0" xr:uid="{00000000-0006-0000-0200-00006A000000}">
      <text>
        <r>
          <rPr>
            <sz val="8"/>
            <color indexed="81"/>
            <rFont val="Tahoma"/>
            <family val="2"/>
          </rPr>
          <t>Blind Width          Maximum Cut Out Width
270 - 299mm       80mm
300 - 400mm       90mm
401 - 527mm        110mm
528 - 850mm       140mm
  &gt; 851mm              165mm</t>
        </r>
      </text>
    </comment>
    <comment ref="T22" authorId="0" shapeId="0" xr:uid="{00000000-0006-0000-0200-00006B000000}">
      <text>
        <r>
          <rPr>
            <sz val="8"/>
            <color indexed="81"/>
            <rFont val="Tahoma"/>
            <family val="2"/>
          </rPr>
          <t>Blind Width          Maximum Cut Out Width
270 - 299mm       80mm
300 - 400mm       90mm
401 - 527mm        110mm
528 - 850mm       140mm
  &gt; 851mm              165mm</t>
        </r>
      </text>
    </comment>
    <comment ref="F23" authorId="0" shapeId="0" xr:uid="{00000000-0006-0000-0200-00006C000000}">
      <text>
        <r>
          <rPr>
            <sz val="8"/>
            <color indexed="81"/>
            <rFont val="Tahoma"/>
            <family val="2"/>
          </rPr>
          <t>Minimum Width is 270mm.
Maximum Width is 2700mm.
All openings over 2700mm wide will require 
multiple Blinds.</t>
        </r>
      </text>
    </comment>
    <comment ref="G23" authorId="0" shapeId="0" xr:uid="{00000000-0006-0000-0200-00006D000000}">
      <text>
        <r>
          <rPr>
            <sz val="8"/>
            <color indexed="81"/>
            <rFont val="Tahoma"/>
            <family val="2"/>
          </rPr>
          <t>Maximum Height/Drop is 3600mm.</t>
        </r>
      </text>
    </comment>
    <comment ref="H23" authorId="0" shapeId="0" xr:uid="{00000000-0006-0000-0200-00006E000000}">
      <text>
        <r>
          <rPr>
            <sz val="8"/>
            <color indexed="81"/>
            <rFont val="Tahoma"/>
            <family val="2"/>
          </rPr>
          <t>When selecting a
Corner or Bay Window Type, 
the CMB Corner WS or CMB Bay WS 
must be completed.</t>
        </r>
      </text>
    </comment>
    <comment ref="J23" authorId="0" shapeId="0" xr:uid="{00000000-0006-0000-0200-00006F000000}">
      <text>
        <r>
          <rPr>
            <sz val="8"/>
            <color indexed="81"/>
            <rFont val="Tahoma"/>
            <family val="2"/>
          </rPr>
          <t>ACT 
Actual Measurements
You have made the allowances.
NAM
No Allowances Made 
The factory will make the deductions.</t>
        </r>
      </text>
    </comment>
    <comment ref="O23" authorId="0" shapeId="0" xr:uid="{00000000-0006-0000-0200-000070000000}">
      <text>
        <r>
          <rPr>
            <sz val="8"/>
            <color indexed="81"/>
            <rFont val="Tahoma"/>
            <family val="2"/>
          </rPr>
          <t>When Yes, Cut Out measurements must be supplied in the next cells.</t>
        </r>
      </text>
    </comment>
    <comment ref="R23" authorId="0" shapeId="0" xr:uid="{00000000-0006-0000-0200-000071000000}">
      <text>
        <r>
          <rPr>
            <sz val="8"/>
            <color indexed="81"/>
            <rFont val="Tahoma"/>
            <family val="2"/>
          </rPr>
          <t>Blind Width          Maximum Cut Out Width
270 - 299mm       80mm
300 - 400mm       90mm
401 - 527mm        110mm
528 - 850mm       140mm
  &gt; 851mm              165mm</t>
        </r>
      </text>
    </comment>
    <comment ref="T23" authorId="0" shapeId="0" xr:uid="{00000000-0006-0000-0200-000072000000}">
      <text>
        <r>
          <rPr>
            <sz val="8"/>
            <color indexed="81"/>
            <rFont val="Tahoma"/>
            <family val="2"/>
          </rPr>
          <t>Blind Width          Maximum Cut Out Width
270 - 299mm       80mm
300 - 400mm       90mm
401 - 527mm        110mm
528 - 850mm       140mm
  &gt; 851mm              165mm</t>
        </r>
      </text>
    </comment>
    <comment ref="F24" authorId="0" shapeId="0" xr:uid="{00000000-0006-0000-0200-000073000000}">
      <text>
        <r>
          <rPr>
            <sz val="8"/>
            <color indexed="81"/>
            <rFont val="Tahoma"/>
            <family val="2"/>
          </rPr>
          <t>Minimum Width is 270mm.
Maximum Width is 2700mm.
All openings over 2700mm wide will require 
multiple Blinds.</t>
        </r>
      </text>
    </comment>
    <comment ref="G24" authorId="0" shapeId="0" xr:uid="{00000000-0006-0000-0200-000074000000}">
      <text>
        <r>
          <rPr>
            <sz val="8"/>
            <color indexed="81"/>
            <rFont val="Tahoma"/>
            <family val="2"/>
          </rPr>
          <t>Maximum Height/Drop is 3600mm.</t>
        </r>
      </text>
    </comment>
    <comment ref="H24" authorId="0" shapeId="0" xr:uid="{00000000-0006-0000-0200-000075000000}">
      <text>
        <r>
          <rPr>
            <sz val="8"/>
            <color indexed="81"/>
            <rFont val="Tahoma"/>
            <family val="2"/>
          </rPr>
          <t>When selecting a
Corner or Bay Window Type, 
the CMB Corner WS or CMB Bay WS 
must be completed.</t>
        </r>
      </text>
    </comment>
    <comment ref="J24" authorId="0" shapeId="0" xr:uid="{00000000-0006-0000-0200-000076000000}">
      <text>
        <r>
          <rPr>
            <sz val="8"/>
            <color indexed="81"/>
            <rFont val="Tahoma"/>
            <family val="2"/>
          </rPr>
          <t>ACT 
Actual Measurements
You have made the allowances.
NAM
No Allowances Made 
The factory will make the deductions.</t>
        </r>
      </text>
    </comment>
    <comment ref="O24" authorId="0" shapeId="0" xr:uid="{00000000-0006-0000-0200-000077000000}">
      <text>
        <r>
          <rPr>
            <sz val="8"/>
            <color indexed="81"/>
            <rFont val="Tahoma"/>
            <family val="2"/>
          </rPr>
          <t>When Yes, Cut Out measurements must be supplied in the next cells.</t>
        </r>
      </text>
    </comment>
    <comment ref="R24" authorId="0" shapeId="0" xr:uid="{00000000-0006-0000-0200-000078000000}">
      <text>
        <r>
          <rPr>
            <sz val="8"/>
            <color indexed="81"/>
            <rFont val="Tahoma"/>
            <family val="2"/>
          </rPr>
          <t>Blind Width          Maximum Cut Out Width
270 - 299mm       80mm
300 - 400mm       90mm
401 - 527mm        110mm
528 - 850mm       140mm
  &gt; 851mm              165mm</t>
        </r>
      </text>
    </comment>
    <comment ref="T24" authorId="0" shapeId="0" xr:uid="{00000000-0006-0000-0200-000079000000}">
      <text>
        <r>
          <rPr>
            <sz val="8"/>
            <color indexed="81"/>
            <rFont val="Tahoma"/>
            <family val="2"/>
          </rPr>
          <t>Blind Width          Maximum Cut Out Width
270 - 299mm       80mm
300 - 400mm       90mm
401 - 527mm        110mm
528 - 850mm       140mm
  &gt; 851mm              165mm</t>
        </r>
      </text>
    </comment>
    <comment ref="F25" authorId="0" shapeId="0" xr:uid="{00000000-0006-0000-0200-00007A000000}">
      <text>
        <r>
          <rPr>
            <sz val="8"/>
            <color indexed="81"/>
            <rFont val="Tahoma"/>
            <family val="2"/>
          </rPr>
          <t>Minimum Width is 270mm.
Maximum Width is 2700mm.
All openings over 2700mm wide will require 
multiple Blinds.</t>
        </r>
      </text>
    </comment>
    <comment ref="G25" authorId="0" shapeId="0" xr:uid="{00000000-0006-0000-0200-00007B000000}">
      <text>
        <r>
          <rPr>
            <sz val="8"/>
            <color indexed="81"/>
            <rFont val="Tahoma"/>
            <family val="2"/>
          </rPr>
          <t>Maximum Height/Drop is 3600mm.</t>
        </r>
      </text>
    </comment>
    <comment ref="H25" authorId="0" shapeId="0" xr:uid="{00000000-0006-0000-0200-00007C000000}">
      <text>
        <r>
          <rPr>
            <sz val="8"/>
            <color indexed="81"/>
            <rFont val="Tahoma"/>
            <family val="2"/>
          </rPr>
          <t>When selecting a
Corner or Bay Window Type, 
the CMB Corner WS or CMB Bay WS 
must be completed.</t>
        </r>
      </text>
    </comment>
    <comment ref="J25" authorId="0" shapeId="0" xr:uid="{00000000-0006-0000-0200-00007D000000}">
      <text>
        <r>
          <rPr>
            <sz val="8"/>
            <color indexed="81"/>
            <rFont val="Tahoma"/>
            <family val="2"/>
          </rPr>
          <t>ACT 
Actual Measurements
You have made the allowances.
NAM
No Allowances Made 
The factory will make the deductions.</t>
        </r>
      </text>
    </comment>
    <comment ref="O25" authorId="0" shapeId="0" xr:uid="{00000000-0006-0000-0200-00007E000000}">
      <text>
        <r>
          <rPr>
            <sz val="8"/>
            <color indexed="81"/>
            <rFont val="Tahoma"/>
            <family val="2"/>
          </rPr>
          <t>When Yes, Cut Out measurements must be supplied in the next cells.</t>
        </r>
      </text>
    </comment>
    <comment ref="R25" authorId="0" shapeId="0" xr:uid="{00000000-0006-0000-0200-00007F000000}">
      <text>
        <r>
          <rPr>
            <sz val="8"/>
            <color indexed="81"/>
            <rFont val="Tahoma"/>
            <family val="2"/>
          </rPr>
          <t>Blind Width          Maximum Cut Out Width
270 - 299mm       80mm
300 - 400mm       90mm
401 - 527mm        110mm
528 - 850mm       140mm
  &gt; 851mm              165mm</t>
        </r>
      </text>
    </comment>
    <comment ref="T25" authorId="0" shapeId="0" xr:uid="{00000000-0006-0000-0200-000080000000}">
      <text>
        <r>
          <rPr>
            <sz val="8"/>
            <color indexed="81"/>
            <rFont val="Tahoma"/>
            <family val="2"/>
          </rPr>
          <t>Blind Width          Maximum Cut Out Width
270 - 299mm       80mm
300 - 400mm       90mm
401 - 527mm        110mm
528 - 850mm       140mm
  &gt; 851mm              165mm</t>
        </r>
      </text>
    </comment>
    <comment ref="F26" authorId="0" shapeId="0" xr:uid="{00000000-0006-0000-0200-000081000000}">
      <text>
        <r>
          <rPr>
            <sz val="8"/>
            <color indexed="81"/>
            <rFont val="Tahoma"/>
            <family val="2"/>
          </rPr>
          <t>Minimum Width is 270mm.
Maximum Width is 2700mm.
All openings over 2700mm wide will require 
multiple Blinds.</t>
        </r>
      </text>
    </comment>
    <comment ref="G26" authorId="0" shapeId="0" xr:uid="{00000000-0006-0000-0200-000082000000}">
      <text>
        <r>
          <rPr>
            <sz val="8"/>
            <color indexed="81"/>
            <rFont val="Tahoma"/>
            <family val="2"/>
          </rPr>
          <t>Maximum Height/Drop is 3600mm.</t>
        </r>
      </text>
    </comment>
    <comment ref="H26" authorId="0" shapeId="0" xr:uid="{00000000-0006-0000-0200-000083000000}">
      <text>
        <r>
          <rPr>
            <sz val="8"/>
            <color indexed="81"/>
            <rFont val="Tahoma"/>
            <family val="2"/>
          </rPr>
          <t>When selecting a
Corner or Bay Window Type, 
the CMB Corner WS or CMB Bay WS 
must be completed.</t>
        </r>
      </text>
    </comment>
    <comment ref="J26" authorId="0" shapeId="0" xr:uid="{00000000-0006-0000-0200-000084000000}">
      <text>
        <r>
          <rPr>
            <sz val="8"/>
            <color indexed="81"/>
            <rFont val="Tahoma"/>
            <family val="2"/>
          </rPr>
          <t>ACT 
Actual Measurements
You have made the allowances.
NAM
No Allowances Made 
The factory will make the deductions.</t>
        </r>
      </text>
    </comment>
    <comment ref="O26" authorId="0" shapeId="0" xr:uid="{00000000-0006-0000-0200-000085000000}">
      <text>
        <r>
          <rPr>
            <sz val="8"/>
            <color indexed="81"/>
            <rFont val="Tahoma"/>
            <family val="2"/>
          </rPr>
          <t>When Yes, Cut Out measurements must be supplied in the next cells.</t>
        </r>
      </text>
    </comment>
    <comment ref="R26" authorId="0" shapeId="0" xr:uid="{00000000-0006-0000-0200-000086000000}">
      <text>
        <r>
          <rPr>
            <sz val="8"/>
            <color indexed="81"/>
            <rFont val="Tahoma"/>
            <family val="2"/>
          </rPr>
          <t>Blind Width          Maximum Cut Out Width
270 - 299mm       80mm
300 - 400mm       90mm
401 - 527mm        110mm
528 - 850mm       140mm
  &gt; 851mm              165mm</t>
        </r>
      </text>
    </comment>
    <comment ref="T26" authorId="0" shapeId="0" xr:uid="{00000000-0006-0000-0200-000087000000}">
      <text>
        <r>
          <rPr>
            <sz val="8"/>
            <color indexed="81"/>
            <rFont val="Tahoma"/>
            <family val="2"/>
          </rPr>
          <t>Blind Width          Maximum Cut Out Width
270 - 299mm       80mm
300 - 400mm       90mm
401 - 527mm        110mm
528 - 850mm       140mm
  &gt; 851mm              165mm</t>
        </r>
      </text>
    </comment>
    <comment ref="F27" authorId="0" shapeId="0" xr:uid="{00000000-0006-0000-0200-000088000000}">
      <text>
        <r>
          <rPr>
            <sz val="8"/>
            <color indexed="81"/>
            <rFont val="Tahoma"/>
            <family val="2"/>
          </rPr>
          <t>Minimum Width is 270mm.
Maximum Width is 2700mm.
All openings over 2700mm wide will require 
multiple Blinds.</t>
        </r>
      </text>
    </comment>
    <comment ref="G27" authorId="0" shapeId="0" xr:uid="{00000000-0006-0000-0200-000089000000}">
      <text>
        <r>
          <rPr>
            <sz val="8"/>
            <color indexed="81"/>
            <rFont val="Tahoma"/>
            <family val="2"/>
          </rPr>
          <t>Maximum Height/Drop is 3600mm.</t>
        </r>
      </text>
    </comment>
    <comment ref="H27" authorId="0" shapeId="0" xr:uid="{00000000-0006-0000-0200-00008A000000}">
      <text>
        <r>
          <rPr>
            <sz val="8"/>
            <color indexed="81"/>
            <rFont val="Tahoma"/>
            <family val="2"/>
          </rPr>
          <t>When selecting a
Corner or Bay Window Type, 
the CMB Corner WS or CMB Bay WS 
must be completed.</t>
        </r>
      </text>
    </comment>
    <comment ref="J27" authorId="0" shapeId="0" xr:uid="{00000000-0006-0000-0200-00008B000000}">
      <text>
        <r>
          <rPr>
            <sz val="8"/>
            <color indexed="81"/>
            <rFont val="Tahoma"/>
            <family val="2"/>
          </rPr>
          <t>ACT 
Actual Measurements
You have made the allowances.
NAM
No Allowances Made 
The factory will make the deductions.</t>
        </r>
      </text>
    </comment>
    <comment ref="O27" authorId="0" shapeId="0" xr:uid="{00000000-0006-0000-0200-00008C000000}">
      <text>
        <r>
          <rPr>
            <sz val="8"/>
            <color indexed="81"/>
            <rFont val="Tahoma"/>
            <family val="2"/>
          </rPr>
          <t>When Yes, Cut Out measurements must be supplied in the next cells.</t>
        </r>
      </text>
    </comment>
    <comment ref="R27" authorId="0" shapeId="0" xr:uid="{00000000-0006-0000-0200-00008D000000}">
      <text>
        <r>
          <rPr>
            <sz val="8"/>
            <color indexed="81"/>
            <rFont val="Tahoma"/>
            <family val="2"/>
          </rPr>
          <t>Blind Width          Maximum Cut Out Width
270 - 299mm       80mm
300 - 400mm       90mm
401 - 527mm        110mm
528 - 850mm       140mm
  &gt; 851mm              165mm</t>
        </r>
      </text>
    </comment>
    <comment ref="T27" authorId="0" shapeId="0" xr:uid="{00000000-0006-0000-0200-00008E000000}">
      <text>
        <r>
          <rPr>
            <sz val="8"/>
            <color indexed="81"/>
            <rFont val="Tahoma"/>
            <family val="2"/>
          </rPr>
          <t>Blind Width          Maximum Cut Out Width
270 - 299mm       80mm
300 - 400mm       90mm
401 - 527mm        110mm
528 - 850mm       140mm
  &gt; 851mm              165mm</t>
        </r>
      </text>
    </comment>
    <comment ref="F28" authorId="0" shapeId="0" xr:uid="{00000000-0006-0000-0200-00008F000000}">
      <text>
        <r>
          <rPr>
            <sz val="8"/>
            <color indexed="81"/>
            <rFont val="Tahoma"/>
            <family val="2"/>
          </rPr>
          <t>Minimum Width is 270mm.
Maximum Width is 2700mm.
All openings over 2700mm wide will require 
multiple Blinds.</t>
        </r>
      </text>
    </comment>
    <comment ref="G28" authorId="0" shapeId="0" xr:uid="{00000000-0006-0000-0200-000090000000}">
      <text>
        <r>
          <rPr>
            <sz val="8"/>
            <color indexed="81"/>
            <rFont val="Tahoma"/>
            <family val="2"/>
          </rPr>
          <t>Maximum Height/Drop is 3600mm.</t>
        </r>
      </text>
    </comment>
    <comment ref="H28" authorId="0" shapeId="0" xr:uid="{00000000-0006-0000-0200-000091000000}">
      <text>
        <r>
          <rPr>
            <sz val="8"/>
            <color indexed="81"/>
            <rFont val="Tahoma"/>
            <family val="2"/>
          </rPr>
          <t>When selecting a
Corner or Bay Window Type, 
the CMB Corner WS or CMB Bay WS 
must be completed.</t>
        </r>
      </text>
    </comment>
    <comment ref="J28" authorId="0" shapeId="0" xr:uid="{00000000-0006-0000-0200-000092000000}">
      <text>
        <r>
          <rPr>
            <sz val="8"/>
            <color indexed="81"/>
            <rFont val="Tahoma"/>
            <family val="2"/>
          </rPr>
          <t>ACT 
Actual Measurements
You have made the allowances.
NAM
No Allowances Made 
The factory will make the deductions.</t>
        </r>
      </text>
    </comment>
    <comment ref="O28" authorId="0" shapeId="0" xr:uid="{00000000-0006-0000-0200-000093000000}">
      <text>
        <r>
          <rPr>
            <sz val="8"/>
            <color indexed="81"/>
            <rFont val="Tahoma"/>
            <family val="2"/>
          </rPr>
          <t>When Yes, Cut Out measurements must be supplied in the next cells.</t>
        </r>
      </text>
    </comment>
    <comment ref="R28" authorId="0" shapeId="0" xr:uid="{00000000-0006-0000-0200-000094000000}">
      <text>
        <r>
          <rPr>
            <sz val="8"/>
            <color indexed="81"/>
            <rFont val="Tahoma"/>
            <family val="2"/>
          </rPr>
          <t>Blind Width          Maximum Cut Out Width
270 - 299mm       80mm
300 - 400mm       90mm
401 - 527mm        110mm
528 - 850mm       140mm
  &gt; 851mm              165mm</t>
        </r>
      </text>
    </comment>
    <comment ref="T28" authorId="0" shapeId="0" xr:uid="{00000000-0006-0000-0200-000095000000}">
      <text>
        <r>
          <rPr>
            <sz val="8"/>
            <color indexed="81"/>
            <rFont val="Tahoma"/>
            <family val="2"/>
          </rPr>
          <t>Blind Width          Maximum Cut Out Width
270 - 299mm       80mm
300 - 400mm       90mm
401 - 527mm        110mm
528 - 850mm       140mm
  &gt; 851mm              165mm</t>
        </r>
      </text>
    </comment>
    <comment ref="F29" authorId="0" shapeId="0" xr:uid="{00000000-0006-0000-0200-000096000000}">
      <text>
        <r>
          <rPr>
            <sz val="8"/>
            <color indexed="81"/>
            <rFont val="Tahoma"/>
            <family val="2"/>
          </rPr>
          <t>Minimum Width is 270mm.
Maximum Width is 2700mm.
All openings over 2700mm wide will require 
multiple Blinds.</t>
        </r>
      </text>
    </comment>
    <comment ref="G29" authorId="0" shapeId="0" xr:uid="{00000000-0006-0000-0200-000097000000}">
      <text>
        <r>
          <rPr>
            <sz val="8"/>
            <color indexed="81"/>
            <rFont val="Tahoma"/>
            <family val="2"/>
          </rPr>
          <t>Maximum Height/Drop is 3600mm.</t>
        </r>
      </text>
    </comment>
    <comment ref="H29" authorId="0" shapeId="0" xr:uid="{00000000-0006-0000-0200-000098000000}">
      <text>
        <r>
          <rPr>
            <sz val="8"/>
            <color indexed="81"/>
            <rFont val="Tahoma"/>
            <family val="2"/>
          </rPr>
          <t>When selecting a
Corner or Bay Window Type, 
the CMB Corner WS or CMB Bay WS 
must be completed.</t>
        </r>
      </text>
    </comment>
    <comment ref="J29" authorId="0" shapeId="0" xr:uid="{00000000-0006-0000-0200-000099000000}">
      <text>
        <r>
          <rPr>
            <sz val="8"/>
            <color indexed="81"/>
            <rFont val="Tahoma"/>
            <family val="2"/>
          </rPr>
          <t>ACT 
Actual Measurements
You have made the allowances.
NAM
No Allowances Made 
The factory will make the deductions.</t>
        </r>
      </text>
    </comment>
    <comment ref="O29" authorId="0" shapeId="0" xr:uid="{00000000-0006-0000-0200-00009A000000}">
      <text>
        <r>
          <rPr>
            <sz val="8"/>
            <color indexed="81"/>
            <rFont val="Tahoma"/>
            <family val="2"/>
          </rPr>
          <t>When Yes, Cut Out measurements must be supplied in the next cells.</t>
        </r>
      </text>
    </comment>
    <comment ref="R29" authorId="0" shapeId="0" xr:uid="{00000000-0006-0000-0200-00009B000000}">
      <text>
        <r>
          <rPr>
            <sz val="8"/>
            <color indexed="81"/>
            <rFont val="Tahoma"/>
            <family val="2"/>
          </rPr>
          <t>Blind Width          Maximum Cut Out Width
270 - 299mm       80mm
300 - 400mm       90mm
401 - 527mm        110mm
528 - 850mm       140mm
  &gt; 851mm              165mm</t>
        </r>
      </text>
    </comment>
    <comment ref="T29" authorId="0" shapeId="0" xr:uid="{00000000-0006-0000-0200-00009C000000}">
      <text>
        <r>
          <rPr>
            <sz val="8"/>
            <color indexed="81"/>
            <rFont val="Tahoma"/>
            <family val="2"/>
          </rPr>
          <t>Blind Width          Maximum Cut Out Width
270 - 299mm       80mm
300 - 400mm       90mm
401 - 527mm        110mm
528 - 850mm       140mm
  &gt; 851mm              165mm</t>
        </r>
      </text>
    </comment>
    <comment ref="F30" authorId="0" shapeId="0" xr:uid="{00000000-0006-0000-0200-00009D000000}">
      <text>
        <r>
          <rPr>
            <sz val="8"/>
            <color indexed="81"/>
            <rFont val="Tahoma"/>
            <family val="2"/>
          </rPr>
          <t>Minimum Width is 270mm.
Maximum Width is 2700mm.
All openings over 2700mm wide will require 
multiple Blinds.</t>
        </r>
      </text>
    </comment>
    <comment ref="G30" authorId="0" shapeId="0" xr:uid="{00000000-0006-0000-0200-00009E000000}">
      <text>
        <r>
          <rPr>
            <sz val="8"/>
            <color indexed="81"/>
            <rFont val="Tahoma"/>
            <family val="2"/>
          </rPr>
          <t>Maximum Height/Drop is 3600mm.</t>
        </r>
      </text>
    </comment>
    <comment ref="H30" authorId="0" shapeId="0" xr:uid="{00000000-0006-0000-0200-00009F000000}">
      <text>
        <r>
          <rPr>
            <sz val="8"/>
            <color indexed="81"/>
            <rFont val="Tahoma"/>
            <family val="2"/>
          </rPr>
          <t>When selecting a
Corner or Bay Window Type, 
the CMB Corner WS or CMB Bay WS 
must be completed.</t>
        </r>
      </text>
    </comment>
    <comment ref="J30" authorId="0" shapeId="0" xr:uid="{00000000-0006-0000-0200-0000A0000000}">
      <text>
        <r>
          <rPr>
            <sz val="8"/>
            <color indexed="81"/>
            <rFont val="Tahoma"/>
            <family val="2"/>
          </rPr>
          <t>ACT 
Actual Measurements
You have made the allowances.
NAM
No Allowances Made 
The factory will make the deductions.</t>
        </r>
      </text>
    </comment>
    <comment ref="O30" authorId="0" shapeId="0" xr:uid="{00000000-0006-0000-0200-0000A1000000}">
      <text>
        <r>
          <rPr>
            <sz val="8"/>
            <color indexed="81"/>
            <rFont val="Tahoma"/>
            <family val="2"/>
          </rPr>
          <t>When Yes, Cut Out measurements must be supplied in the next cells.</t>
        </r>
      </text>
    </comment>
    <comment ref="R30" authorId="0" shapeId="0" xr:uid="{00000000-0006-0000-0200-0000A2000000}">
      <text>
        <r>
          <rPr>
            <sz val="8"/>
            <color indexed="81"/>
            <rFont val="Tahoma"/>
            <family val="2"/>
          </rPr>
          <t>Blind Width          Maximum Cut Out Width
270 - 299mm       80mm
300 - 400mm       90mm
401 - 527mm        110mm
528 - 850mm       140mm
  &gt; 851mm              165mm</t>
        </r>
      </text>
    </comment>
    <comment ref="T30" authorId="0" shapeId="0" xr:uid="{00000000-0006-0000-0200-0000A3000000}">
      <text>
        <r>
          <rPr>
            <sz val="8"/>
            <color indexed="81"/>
            <rFont val="Tahoma"/>
            <family val="2"/>
          </rPr>
          <t>Blind Width          Maximum Cut Out Width
270 - 299mm       80mm
300 - 400mm       90mm
401 - 527mm        110mm
528 - 850mm       140mm
  &gt; 851mm              165mm</t>
        </r>
      </text>
    </comment>
    <comment ref="F31" authorId="0" shapeId="0" xr:uid="{00000000-0006-0000-0200-0000A4000000}">
      <text>
        <r>
          <rPr>
            <sz val="8"/>
            <color indexed="81"/>
            <rFont val="Tahoma"/>
            <family val="2"/>
          </rPr>
          <t>Minimum Width is 270mm.
Maximum Width is 2700mm.
All openings over 2700mm wide will require 
multiple Blinds.</t>
        </r>
      </text>
    </comment>
    <comment ref="G31" authorId="0" shapeId="0" xr:uid="{00000000-0006-0000-0200-0000A5000000}">
      <text>
        <r>
          <rPr>
            <sz val="8"/>
            <color indexed="81"/>
            <rFont val="Tahoma"/>
            <family val="2"/>
          </rPr>
          <t>Maximum Height/Drop is 3600mm.</t>
        </r>
      </text>
    </comment>
    <comment ref="H31" authorId="0" shapeId="0" xr:uid="{00000000-0006-0000-0200-0000A6000000}">
      <text>
        <r>
          <rPr>
            <sz val="8"/>
            <color indexed="81"/>
            <rFont val="Tahoma"/>
            <family val="2"/>
          </rPr>
          <t>When selecting a
Corner or Bay Window Type, 
the CMB Corner WS or CMB Bay WS 
must be completed.</t>
        </r>
      </text>
    </comment>
    <comment ref="J31" authorId="0" shapeId="0" xr:uid="{00000000-0006-0000-0200-0000A7000000}">
      <text>
        <r>
          <rPr>
            <sz val="8"/>
            <color indexed="81"/>
            <rFont val="Tahoma"/>
            <family val="2"/>
          </rPr>
          <t>ACT 
Actual Measurements
You have made the allowances.
NAM
No Allowances Made 
The factory will make the deductions.</t>
        </r>
      </text>
    </comment>
    <comment ref="O31" authorId="0" shapeId="0" xr:uid="{00000000-0006-0000-0200-0000A8000000}">
      <text>
        <r>
          <rPr>
            <sz val="8"/>
            <color indexed="81"/>
            <rFont val="Tahoma"/>
            <family val="2"/>
          </rPr>
          <t>When Yes, Cut Out measurements must be supplied in the next cells.</t>
        </r>
      </text>
    </comment>
    <comment ref="R31" authorId="0" shapeId="0" xr:uid="{00000000-0006-0000-0200-0000A9000000}">
      <text>
        <r>
          <rPr>
            <sz val="8"/>
            <color indexed="81"/>
            <rFont val="Tahoma"/>
            <family val="2"/>
          </rPr>
          <t>Blind Width          Maximum Cut Out Width
270 - 299mm       80mm
300 - 400mm       90mm
401 - 527mm        110mm
528 - 850mm       140mm
  &gt; 851mm              165mm</t>
        </r>
      </text>
    </comment>
    <comment ref="T31" authorId="0" shapeId="0" xr:uid="{00000000-0006-0000-0200-0000AA000000}">
      <text>
        <r>
          <rPr>
            <sz val="8"/>
            <color indexed="81"/>
            <rFont val="Tahoma"/>
            <family val="2"/>
          </rPr>
          <t>Blind Width          Maximum Cut Out Width
270 - 299mm       80mm
300 - 400mm       90mm
401 - 527mm        110mm
528 - 850mm       140mm
  &gt; 851mm              165mm</t>
        </r>
      </text>
    </comment>
    <comment ref="F32" authorId="0" shapeId="0" xr:uid="{00000000-0006-0000-0200-0000AB000000}">
      <text>
        <r>
          <rPr>
            <sz val="8"/>
            <color indexed="81"/>
            <rFont val="Tahoma"/>
            <family val="2"/>
          </rPr>
          <t>Minimum Width is 270mm.
Maximum Width is 2700mm.
All openings over 2700mm wide will require 
multiple Blinds.</t>
        </r>
      </text>
    </comment>
    <comment ref="G32" authorId="0" shapeId="0" xr:uid="{00000000-0006-0000-0200-0000AC000000}">
      <text>
        <r>
          <rPr>
            <sz val="8"/>
            <color indexed="81"/>
            <rFont val="Tahoma"/>
            <family val="2"/>
          </rPr>
          <t>Maximum Height/Drop is 3600mm.</t>
        </r>
      </text>
    </comment>
    <comment ref="H32" authorId="0" shapeId="0" xr:uid="{00000000-0006-0000-0200-0000AD000000}">
      <text>
        <r>
          <rPr>
            <sz val="8"/>
            <color indexed="81"/>
            <rFont val="Tahoma"/>
            <family val="2"/>
          </rPr>
          <t>When selecting a
Corner or Bay Window Type, 
the CMB Corner WS or CMB Bay WS 
must be completed.</t>
        </r>
      </text>
    </comment>
    <comment ref="J32" authorId="0" shapeId="0" xr:uid="{00000000-0006-0000-0200-0000AE000000}">
      <text>
        <r>
          <rPr>
            <sz val="8"/>
            <color indexed="81"/>
            <rFont val="Tahoma"/>
            <family val="2"/>
          </rPr>
          <t>ACT 
Actual Measurements
You have made the allowances.
NAM
No Allowances Made 
The factory will make the deductions.</t>
        </r>
      </text>
    </comment>
    <comment ref="O32" authorId="0" shapeId="0" xr:uid="{00000000-0006-0000-0200-0000AF000000}">
      <text>
        <r>
          <rPr>
            <sz val="8"/>
            <color indexed="81"/>
            <rFont val="Tahoma"/>
            <family val="2"/>
          </rPr>
          <t>When Yes, Cut Out measurements must be supplied in the next cells.</t>
        </r>
      </text>
    </comment>
    <comment ref="R32" authorId="0" shapeId="0" xr:uid="{00000000-0006-0000-0200-0000B0000000}">
      <text>
        <r>
          <rPr>
            <sz val="8"/>
            <color indexed="81"/>
            <rFont val="Tahoma"/>
            <family val="2"/>
          </rPr>
          <t>Blind Width          Maximum Cut Out Width
270 - 299mm       80mm
300 - 400mm       90mm
401 - 527mm        110mm
528 - 850mm       140mm
  &gt; 851mm              165mm</t>
        </r>
      </text>
    </comment>
    <comment ref="T32" authorId="0" shapeId="0" xr:uid="{00000000-0006-0000-0200-0000B1000000}">
      <text>
        <r>
          <rPr>
            <sz val="8"/>
            <color indexed="81"/>
            <rFont val="Tahoma"/>
            <family val="2"/>
          </rPr>
          <t>Blind Width          Maximum Cut Out Width
270 - 299mm       80mm
300 - 400mm       90mm
401 - 527mm        110mm
528 - 850mm       140mm
  &gt; 851mm              165mm</t>
        </r>
      </text>
    </comment>
    <comment ref="F33" authorId="0" shapeId="0" xr:uid="{00000000-0006-0000-0200-0000B2000000}">
      <text>
        <r>
          <rPr>
            <sz val="8"/>
            <color indexed="81"/>
            <rFont val="Tahoma"/>
            <family val="2"/>
          </rPr>
          <t>Minimum Width is 270mm.
Maximum Width is 2700mm.
All openings over 2700mm wide will require 
multiple Blinds.</t>
        </r>
      </text>
    </comment>
    <comment ref="G33" authorId="0" shapeId="0" xr:uid="{00000000-0006-0000-0200-0000B3000000}">
      <text>
        <r>
          <rPr>
            <sz val="8"/>
            <color indexed="81"/>
            <rFont val="Tahoma"/>
            <family val="2"/>
          </rPr>
          <t>Maximum Height/Drop is 3600mm.</t>
        </r>
      </text>
    </comment>
    <comment ref="H33" authorId="0" shapeId="0" xr:uid="{00000000-0006-0000-0200-0000B4000000}">
      <text>
        <r>
          <rPr>
            <sz val="8"/>
            <color indexed="81"/>
            <rFont val="Tahoma"/>
            <family val="2"/>
          </rPr>
          <t>When selecting a
Corner or Bay Window Type, 
the CMB Corner WS or CMB Bay WS 
must be completed.</t>
        </r>
      </text>
    </comment>
    <comment ref="J33" authorId="0" shapeId="0" xr:uid="{00000000-0006-0000-0200-0000B5000000}">
      <text>
        <r>
          <rPr>
            <sz val="8"/>
            <color indexed="81"/>
            <rFont val="Tahoma"/>
            <family val="2"/>
          </rPr>
          <t>ACT 
Actual Measurements
You have made the allowances.
NAM
No Allowances Made 
The factory will make the deductions.</t>
        </r>
      </text>
    </comment>
    <comment ref="O33" authorId="0" shapeId="0" xr:uid="{00000000-0006-0000-0200-0000B6000000}">
      <text>
        <r>
          <rPr>
            <sz val="8"/>
            <color indexed="81"/>
            <rFont val="Tahoma"/>
            <family val="2"/>
          </rPr>
          <t>When Yes, Cut Out measurements must be supplied in the next cells.</t>
        </r>
      </text>
    </comment>
    <comment ref="R33" authorId="0" shapeId="0" xr:uid="{00000000-0006-0000-0200-0000B7000000}">
      <text>
        <r>
          <rPr>
            <sz val="8"/>
            <color indexed="81"/>
            <rFont val="Tahoma"/>
            <family val="2"/>
          </rPr>
          <t>Blind Width          Maximum Cut Out Width
270 - 299mm       80mm
300 - 400mm       90mm
401 - 527mm        110mm
528 - 850mm       140mm
  &gt; 851mm              165mm</t>
        </r>
      </text>
    </comment>
    <comment ref="T33" authorId="0" shapeId="0" xr:uid="{00000000-0006-0000-0200-0000B8000000}">
      <text>
        <r>
          <rPr>
            <sz val="8"/>
            <color indexed="81"/>
            <rFont val="Tahoma"/>
            <family val="2"/>
          </rPr>
          <t>Blind Width          Maximum Cut Out Width
270 - 299mm       80mm
300 - 400mm       90mm
401 - 527mm        110mm
528 - 850mm       140mm
  &gt; 851mm              165mm</t>
        </r>
      </text>
    </comment>
    <comment ref="F34" authorId="0" shapeId="0" xr:uid="{00000000-0006-0000-0200-0000B9000000}">
      <text>
        <r>
          <rPr>
            <sz val="8"/>
            <color indexed="81"/>
            <rFont val="Tahoma"/>
            <family val="2"/>
          </rPr>
          <t>Minimum Width is 270mm.
Maximum Width is 2700mm.
All openings over 2700mm wide will require 
multiple Blinds.</t>
        </r>
      </text>
    </comment>
    <comment ref="G34" authorId="0" shapeId="0" xr:uid="{00000000-0006-0000-0200-0000BA000000}">
      <text>
        <r>
          <rPr>
            <sz val="8"/>
            <color indexed="81"/>
            <rFont val="Tahoma"/>
            <family val="2"/>
          </rPr>
          <t>Maximum Height/Drop is 3600mm.</t>
        </r>
      </text>
    </comment>
    <comment ref="H34" authorId="0" shapeId="0" xr:uid="{00000000-0006-0000-0200-0000BB000000}">
      <text>
        <r>
          <rPr>
            <sz val="8"/>
            <color indexed="81"/>
            <rFont val="Tahoma"/>
            <family val="2"/>
          </rPr>
          <t>When selecting a
Corner or Bay Window Type, 
the CMB Corner WS or CMB Bay WS 
must be completed.</t>
        </r>
      </text>
    </comment>
    <comment ref="J34" authorId="0" shapeId="0" xr:uid="{00000000-0006-0000-0200-0000BC000000}">
      <text>
        <r>
          <rPr>
            <sz val="8"/>
            <color indexed="81"/>
            <rFont val="Tahoma"/>
            <family val="2"/>
          </rPr>
          <t>ACT 
Actual Measurements
You have made the allowances.
NAM
No Allowances Made 
The factory will make the deductions.</t>
        </r>
      </text>
    </comment>
    <comment ref="O34" authorId="0" shapeId="0" xr:uid="{00000000-0006-0000-0200-0000BD000000}">
      <text>
        <r>
          <rPr>
            <sz val="8"/>
            <color indexed="81"/>
            <rFont val="Tahoma"/>
            <family val="2"/>
          </rPr>
          <t>When Yes, Cut Out measurements must be supplied in the next cells.</t>
        </r>
      </text>
    </comment>
    <comment ref="R34" authorId="0" shapeId="0" xr:uid="{00000000-0006-0000-0200-0000BE000000}">
      <text>
        <r>
          <rPr>
            <sz val="8"/>
            <color indexed="81"/>
            <rFont val="Tahoma"/>
            <family val="2"/>
          </rPr>
          <t>Blind Width          Maximum Cut Out Width
270 - 299mm       80mm
300 - 400mm       90mm
401 - 527mm        110mm
528 - 850mm       140mm
  &gt; 851mm              165mm</t>
        </r>
      </text>
    </comment>
    <comment ref="T34" authorId="0" shapeId="0" xr:uid="{00000000-0006-0000-0200-0000BF000000}">
      <text>
        <r>
          <rPr>
            <sz val="8"/>
            <color indexed="81"/>
            <rFont val="Tahoma"/>
            <family val="2"/>
          </rPr>
          <t>Blind Width          Maximum Cut Out Width
270 - 299mm       80mm
300 - 400mm       90mm
401 - 527mm        110mm
528 - 850mm       140mm
  &gt; 851mm              165mm</t>
        </r>
      </text>
    </comment>
    <comment ref="F35" authorId="0" shapeId="0" xr:uid="{00000000-0006-0000-0200-0000C0000000}">
      <text>
        <r>
          <rPr>
            <sz val="8"/>
            <color indexed="81"/>
            <rFont val="Tahoma"/>
            <family val="2"/>
          </rPr>
          <t>Minimum Width is 270mm.
Maximum Width is 2700mm.
All openings over 2700mm wide will require 
multiple Blinds.</t>
        </r>
      </text>
    </comment>
    <comment ref="G35" authorId="0" shapeId="0" xr:uid="{00000000-0006-0000-0200-0000C1000000}">
      <text>
        <r>
          <rPr>
            <sz val="8"/>
            <color indexed="81"/>
            <rFont val="Tahoma"/>
            <family val="2"/>
          </rPr>
          <t>Maximum Height/Drop is 3600mm.</t>
        </r>
      </text>
    </comment>
    <comment ref="H35" authorId="0" shapeId="0" xr:uid="{00000000-0006-0000-0200-0000C2000000}">
      <text>
        <r>
          <rPr>
            <sz val="8"/>
            <color indexed="81"/>
            <rFont val="Tahoma"/>
            <family val="2"/>
          </rPr>
          <t>When selecting a
Corner or Bay Window Type, 
the CMB Corner WS or CMB Bay WS 
must be completed.</t>
        </r>
      </text>
    </comment>
    <comment ref="J35" authorId="0" shapeId="0" xr:uid="{00000000-0006-0000-0200-0000C3000000}">
      <text>
        <r>
          <rPr>
            <sz val="8"/>
            <color indexed="81"/>
            <rFont val="Tahoma"/>
            <family val="2"/>
          </rPr>
          <t>ACT 
Actual Measurements
You have made the allowances.
NAM
No Allowances Made 
The factory will make the deductions.</t>
        </r>
      </text>
    </comment>
    <comment ref="O35" authorId="0" shapeId="0" xr:uid="{00000000-0006-0000-0200-0000C4000000}">
      <text>
        <r>
          <rPr>
            <sz val="8"/>
            <color indexed="81"/>
            <rFont val="Tahoma"/>
            <family val="2"/>
          </rPr>
          <t>When Yes, Cut Out measurements must be supplied in the next cells.</t>
        </r>
      </text>
    </comment>
    <comment ref="R35" authorId="0" shapeId="0" xr:uid="{00000000-0006-0000-0200-0000C5000000}">
      <text>
        <r>
          <rPr>
            <sz val="8"/>
            <color indexed="81"/>
            <rFont val="Tahoma"/>
            <family val="2"/>
          </rPr>
          <t>Blind Width          Maximum Cut Out Width
270 - 299mm       80mm
300 - 400mm       90mm
401 - 527mm        110mm
528 - 850mm       140mm
  &gt; 851mm              165mm</t>
        </r>
      </text>
    </comment>
    <comment ref="T35" authorId="0" shapeId="0" xr:uid="{00000000-0006-0000-0200-0000C6000000}">
      <text>
        <r>
          <rPr>
            <sz val="8"/>
            <color indexed="81"/>
            <rFont val="Tahoma"/>
            <family val="2"/>
          </rPr>
          <t>Blind Width          Maximum Cut Out Width
270 - 299mm       80mm
300 - 400mm       90mm
401 - 527mm        110mm
528 - 850mm       140mm
  &gt; 851mm              165mm</t>
        </r>
      </text>
    </comment>
    <comment ref="F36" authorId="0" shapeId="0" xr:uid="{00000000-0006-0000-0200-0000C7000000}">
      <text>
        <r>
          <rPr>
            <sz val="8"/>
            <color indexed="81"/>
            <rFont val="Tahoma"/>
            <family val="2"/>
          </rPr>
          <t>Minimum Width is 270mm.
Maximum Width is 2700mm.
All openings over 2700mm wide will require 
multiple Blinds.</t>
        </r>
      </text>
    </comment>
    <comment ref="G36" authorId="0" shapeId="0" xr:uid="{00000000-0006-0000-0200-0000C8000000}">
      <text>
        <r>
          <rPr>
            <sz val="8"/>
            <color indexed="81"/>
            <rFont val="Tahoma"/>
            <family val="2"/>
          </rPr>
          <t>Maximum Height/Drop is 3600mm.</t>
        </r>
      </text>
    </comment>
    <comment ref="H36" authorId="0" shapeId="0" xr:uid="{00000000-0006-0000-0200-0000C9000000}">
      <text>
        <r>
          <rPr>
            <sz val="8"/>
            <color indexed="81"/>
            <rFont val="Tahoma"/>
            <family val="2"/>
          </rPr>
          <t>When selecting a
Corner or Bay Window Type, 
the CMB Corner WS or CMB Bay WS 
must be completed.</t>
        </r>
      </text>
    </comment>
    <comment ref="J36" authorId="0" shapeId="0" xr:uid="{00000000-0006-0000-0200-0000CA000000}">
      <text>
        <r>
          <rPr>
            <sz val="8"/>
            <color indexed="81"/>
            <rFont val="Tahoma"/>
            <family val="2"/>
          </rPr>
          <t>ACT 
Actual Measurements
You have made the allowances.
NAM
No Allowances Made 
The factory will make the deductions.</t>
        </r>
      </text>
    </comment>
    <comment ref="O36" authorId="0" shapeId="0" xr:uid="{00000000-0006-0000-0200-0000CB000000}">
      <text>
        <r>
          <rPr>
            <sz val="8"/>
            <color indexed="81"/>
            <rFont val="Tahoma"/>
            <family val="2"/>
          </rPr>
          <t>When Yes, Cut Out measurements must be supplied in the next cells.</t>
        </r>
      </text>
    </comment>
    <comment ref="R36" authorId="0" shapeId="0" xr:uid="{00000000-0006-0000-0200-0000CC000000}">
      <text>
        <r>
          <rPr>
            <sz val="8"/>
            <color indexed="81"/>
            <rFont val="Tahoma"/>
            <family val="2"/>
          </rPr>
          <t>Blind Width          Maximum Cut Out Width
270 - 299mm       80mm
300 - 400mm       90mm
401 - 527mm        110mm
528 - 850mm       140mm
  &gt; 851mm              165mm</t>
        </r>
      </text>
    </comment>
    <comment ref="T36" authorId="0" shapeId="0" xr:uid="{00000000-0006-0000-0200-0000CD000000}">
      <text>
        <r>
          <rPr>
            <sz val="8"/>
            <color indexed="81"/>
            <rFont val="Tahoma"/>
            <family val="2"/>
          </rPr>
          <t>Blind Width          Maximum Cut Out Width
270 - 299mm       80mm
300 - 400mm       90mm
401 - 527mm        110mm
528 - 850mm       140mm
  &gt; 851mm              165mm</t>
        </r>
      </text>
    </comment>
    <comment ref="F37" authorId="0" shapeId="0" xr:uid="{00000000-0006-0000-0200-0000CE000000}">
      <text>
        <r>
          <rPr>
            <sz val="8"/>
            <color indexed="81"/>
            <rFont val="Tahoma"/>
            <family val="2"/>
          </rPr>
          <t>Minimum Width is 270mm.
Maximum Width is 2700mm.
All openings over 2700mm wide will require 
multiple Blinds.</t>
        </r>
      </text>
    </comment>
    <comment ref="G37" authorId="0" shapeId="0" xr:uid="{00000000-0006-0000-0200-0000CF000000}">
      <text>
        <r>
          <rPr>
            <sz val="8"/>
            <color indexed="81"/>
            <rFont val="Tahoma"/>
            <family val="2"/>
          </rPr>
          <t>Maximum Height/Drop is 3600mm.</t>
        </r>
      </text>
    </comment>
    <comment ref="H37" authorId="0" shapeId="0" xr:uid="{00000000-0006-0000-0200-0000D0000000}">
      <text>
        <r>
          <rPr>
            <sz val="8"/>
            <color indexed="81"/>
            <rFont val="Tahoma"/>
            <family val="2"/>
          </rPr>
          <t>When selecting a
Corner or Bay Window Type, 
the CMB Corner WS or CMB Bay WS 
must be completed.</t>
        </r>
      </text>
    </comment>
    <comment ref="J37" authorId="0" shapeId="0" xr:uid="{00000000-0006-0000-0200-0000D1000000}">
      <text>
        <r>
          <rPr>
            <sz val="8"/>
            <color indexed="81"/>
            <rFont val="Tahoma"/>
            <family val="2"/>
          </rPr>
          <t>ACT 
Actual Measurements
You have made the allowances.
NAM
No Allowances Made 
The factory will make the deductions.</t>
        </r>
      </text>
    </comment>
    <comment ref="O37" authorId="0" shapeId="0" xr:uid="{00000000-0006-0000-0200-0000D2000000}">
      <text>
        <r>
          <rPr>
            <sz val="8"/>
            <color indexed="81"/>
            <rFont val="Tahoma"/>
            <family val="2"/>
          </rPr>
          <t>When Yes, Cut Out measurements must be supplied in the next cells.</t>
        </r>
      </text>
    </comment>
    <comment ref="R37" authorId="0" shapeId="0" xr:uid="{00000000-0006-0000-0200-0000D3000000}">
      <text>
        <r>
          <rPr>
            <sz val="8"/>
            <color indexed="81"/>
            <rFont val="Tahoma"/>
            <family val="2"/>
          </rPr>
          <t>Blind Width          Maximum Cut Out Width
270 - 299mm       80mm
300 - 400mm       90mm
401 - 527mm        110mm
528 - 850mm       140mm
  &gt; 851mm              165mm</t>
        </r>
      </text>
    </comment>
    <comment ref="T37" authorId="0" shapeId="0" xr:uid="{00000000-0006-0000-0200-0000D4000000}">
      <text>
        <r>
          <rPr>
            <sz val="8"/>
            <color indexed="81"/>
            <rFont val="Tahoma"/>
            <family val="2"/>
          </rPr>
          <t>Blind Width          Maximum Cut Out Width
270 - 299mm       80mm
300 - 400mm       90mm
401 - 527mm        110mm
528 - 850mm       140mm
  &gt; 851mm              165mm</t>
        </r>
      </text>
    </comment>
    <comment ref="F38" authorId="0" shapeId="0" xr:uid="{00000000-0006-0000-0200-0000D5000000}">
      <text>
        <r>
          <rPr>
            <sz val="8"/>
            <color indexed="81"/>
            <rFont val="Tahoma"/>
            <family val="2"/>
          </rPr>
          <t>Minimum Width is 270mm.
Maximum Width is 2700mm.
All openings over 2700mm wide will require 
multiple Blinds.</t>
        </r>
      </text>
    </comment>
    <comment ref="G38" authorId="0" shapeId="0" xr:uid="{00000000-0006-0000-0200-0000D6000000}">
      <text>
        <r>
          <rPr>
            <sz val="8"/>
            <color indexed="81"/>
            <rFont val="Tahoma"/>
            <family val="2"/>
          </rPr>
          <t>Maximum Height/Drop is 3600mm.</t>
        </r>
      </text>
    </comment>
    <comment ref="H38" authorId="0" shapeId="0" xr:uid="{00000000-0006-0000-0200-0000D7000000}">
      <text>
        <r>
          <rPr>
            <sz val="8"/>
            <color indexed="81"/>
            <rFont val="Tahoma"/>
            <family val="2"/>
          </rPr>
          <t>When selecting a
Corner or Bay Window Type, 
the CMB Corner WS or CMB Bay WS 
must be completed.</t>
        </r>
      </text>
    </comment>
    <comment ref="J38" authorId="0" shapeId="0" xr:uid="{00000000-0006-0000-0200-0000D8000000}">
      <text>
        <r>
          <rPr>
            <sz val="8"/>
            <color indexed="81"/>
            <rFont val="Tahoma"/>
            <family val="2"/>
          </rPr>
          <t>ACT 
Actual Measurements
You have made the allowances.
NAM
No Allowances Made 
The factory will make the deductions.</t>
        </r>
      </text>
    </comment>
    <comment ref="O38" authorId="0" shapeId="0" xr:uid="{00000000-0006-0000-0200-0000D9000000}">
      <text>
        <r>
          <rPr>
            <sz val="8"/>
            <color indexed="81"/>
            <rFont val="Tahoma"/>
            <family val="2"/>
          </rPr>
          <t>When Yes, Cut Out measurements must be supplied in the next cells.</t>
        </r>
      </text>
    </comment>
    <comment ref="R38" authorId="0" shapeId="0" xr:uid="{00000000-0006-0000-0200-0000DA000000}">
      <text>
        <r>
          <rPr>
            <sz val="8"/>
            <color indexed="81"/>
            <rFont val="Tahoma"/>
            <family val="2"/>
          </rPr>
          <t>Blind Width          Maximum Cut Out Width
270 - 299mm       80mm
300 - 400mm       90mm
401 - 527mm        110mm
528 - 850mm       140mm
  &gt; 851mm              165mm</t>
        </r>
      </text>
    </comment>
    <comment ref="T38" authorId="0" shapeId="0" xr:uid="{00000000-0006-0000-0200-0000DB000000}">
      <text>
        <r>
          <rPr>
            <sz val="8"/>
            <color indexed="81"/>
            <rFont val="Tahoma"/>
            <family val="2"/>
          </rPr>
          <t>Blind Width          Maximum Cut Out Width
270 - 299mm       80mm
300 - 400mm       90mm
401 - 527mm        110mm
528 - 850mm       140mm
  &gt; 851mm              165mm</t>
        </r>
      </text>
    </comment>
    <comment ref="F39" authorId="0" shapeId="0" xr:uid="{00000000-0006-0000-0200-0000DC000000}">
      <text>
        <r>
          <rPr>
            <sz val="8"/>
            <color indexed="81"/>
            <rFont val="Tahoma"/>
            <family val="2"/>
          </rPr>
          <t>Minimum Width is 270mm.
Maximum Width is 2700mm.
All openings over 2700mm wide will require 
multiple Blinds.</t>
        </r>
      </text>
    </comment>
    <comment ref="G39" authorId="0" shapeId="0" xr:uid="{00000000-0006-0000-0200-0000DD000000}">
      <text>
        <r>
          <rPr>
            <sz val="8"/>
            <color indexed="81"/>
            <rFont val="Tahoma"/>
            <family val="2"/>
          </rPr>
          <t>Maximum Height/Drop is 3600mm.</t>
        </r>
      </text>
    </comment>
    <comment ref="H39" authorId="0" shapeId="0" xr:uid="{00000000-0006-0000-0200-0000DE000000}">
      <text>
        <r>
          <rPr>
            <sz val="8"/>
            <color indexed="81"/>
            <rFont val="Tahoma"/>
            <family val="2"/>
          </rPr>
          <t>When selecting a
Corner or Bay Window Type, 
the CMB Corner WS or CMB Bay WS 
must be completed.</t>
        </r>
      </text>
    </comment>
    <comment ref="J39" authorId="0" shapeId="0" xr:uid="{00000000-0006-0000-0200-0000DF000000}">
      <text>
        <r>
          <rPr>
            <sz val="8"/>
            <color indexed="81"/>
            <rFont val="Tahoma"/>
            <family val="2"/>
          </rPr>
          <t>ACT 
Actual Measurements
You have made the allowances.
NAM
No Allowances Made 
The factory will make the deductions.</t>
        </r>
      </text>
    </comment>
    <comment ref="O39" authorId="0" shapeId="0" xr:uid="{00000000-0006-0000-0200-0000E0000000}">
      <text>
        <r>
          <rPr>
            <sz val="8"/>
            <color indexed="81"/>
            <rFont val="Tahoma"/>
            <family val="2"/>
          </rPr>
          <t>When Yes, Cut Out measurements must be supplied in the next cells.</t>
        </r>
      </text>
    </comment>
    <comment ref="R39" authorId="0" shapeId="0" xr:uid="{00000000-0006-0000-0200-0000E1000000}">
      <text>
        <r>
          <rPr>
            <sz val="8"/>
            <color indexed="81"/>
            <rFont val="Tahoma"/>
            <family val="2"/>
          </rPr>
          <t>Blind Width          Maximum Cut Out Width
270 - 299mm       80mm
300 - 400mm       90mm
401 - 527mm        110mm
528 - 850mm       140mm
  &gt; 851mm              165mm</t>
        </r>
      </text>
    </comment>
    <comment ref="T39" authorId="0" shapeId="0" xr:uid="{00000000-0006-0000-0200-0000E2000000}">
      <text>
        <r>
          <rPr>
            <sz val="8"/>
            <color indexed="81"/>
            <rFont val="Tahoma"/>
            <family val="2"/>
          </rPr>
          <t>Blind Width          Maximum Cut Out Width
270 - 299mm       80mm
300 - 400mm       90mm
401 - 527mm        110mm
528 - 850mm       140mm
  &gt; 851mm              165mm</t>
        </r>
      </text>
    </comment>
    <comment ref="F40" authorId="0" shapeId="0" xr:uid="{00000000-0006-0000-0200-0000E3000000}">
      <text>
        <r>
          <rPr>
            <sz val="8"/>
            <color indexed="81"/>
            <rFont val="Tahoma"/>
            <family val="2"/>
          </rPr>
          <t>Minimum Width is 270mm.
Maximum Width is 2700mm.
All openings over 2700mm wide will require 
multiple Blinds.</t>
        </r>
      </text>
    </comment>
    <comment ref="G40" authorId="0" shapeId="0" xr:uid="{00000000-0006-0000-0200-0000E4000000}">
      <text>
        <r>
          <rPr>
            <sz val="8"/>
            <color indexed="81"/>
            <rFont val="Tahoma"/>
            <family val="2"/>
          </rPr>
          <t>Maximum Height/Drop is 3600mm.</t>
        </r>
      </text>
    </comment>
    <comment ref="H40" authorId="0" shapeId="0" xr:uid="{00000000-0006-0000-0200-0000E5000000}">
      <text>
        <r>
          <rPr>
            <sz val="8"/>
            <color indexed="81"/>
            <rFont val="Tahoma"/>
            <family val="2"/>
          </rPr>
          <t>When selecting a
Corner or Bay Window Type, 
the CMB Corner WS or CMB Bay WS 
must be completed.</t>
        </r>
      </text>
    </comment>
    <comment ref="J40" authorId="0" shapeId="0" xr:uid="{00000000-0006-0000-0200-0000E6000000}">
      <text>
        <r>
          <rPr>
            <sz val="8"/>
            <color indexed="81"/>
            <rFont val="Tahoma"/>
            <family val="2"/>
          </rPr>
          <t>ACT 
Actual Measurements
You have made the allowances.
NAM
No Allowances Made 
The factory will make the deductions.</t>
        </r>
      </text>
    </comment>
    <comment ref="O40" authorId="0" shapeId="0" xr:uid="{00000000-0006-0000-0200-0000E7000000}">
      <text>
        <r>
          <rPr>
            <sz val="8"/>
            <color indexed="81"/>
            <rFont val="Tahoma"/>
            <family val="2"/>
          </rPr>
          <t>When Yes, Cut Out measurements must be supplied in the next cells.</t>
        </r>
      </text>
    </comment>
    <comment ref="R40" authorId="0" shapeId="0" xr:uid="{00000000-0006-0000-0200-0000E8000000}">
      <text>
        <r>
          <rPr>
            <sz val="8"/>
            <color indexed="81"/>
            <rFont val="Tahoma"/>
            <family val="2"/>
          </rPr>
          <t>Blind Width          Maximum Cut Out Width
270 - 299mm       80mm
300 - 400mm       90mm
401 - 527mm        110mm
528 - 850mm       140mm
  &gt; 851mm              165mm</t>
        </r>
      </text>
    </comment>
    <comment ref="T40" authorId="0" shapeId="0" xr:uid="{00000000-0006-0000-0200-0000E9000000}">
      <text>
        <r>
          <rPr>
            <sz val="8"/>
            <color indexed="81"/>
            <rFont val="Tahoma"/>
            <family val="2"/>
          </rPr>
          <t>Blind Width          Maximum Cut Out Width
270 - 299mm       80mm
300 - 400mm       90mm
401 - 527mm        110mm
528 - 850mm       140mm
  &gt; 851mm              165mm</t>
        </r>
      </text>
    </comment>
    <comment ref="F41" authorId="0" shapeId="0" xr:uid="{00000000-0006-0000-0200-0000EA000000}">
      <text>
        <r>
          <rPr>
            <sz val="8"/>
            <color indexed="81"/>
            <rFont val="Tahoma"/>
            <family val="2"/>
          </rPr>
          <t>Minimum Width is 270mm.
Maximum Width is 2700mm.
All openings over 2700mm wide will require 
multiple Blinds.</t>
        </r>
      </text>
    </comment>
    <comment ref="G41" authorId="0" shapeId="0" xr:uid="{00000000-0006-0000-0200-0000EB000000}">
      <text>
        <r>
          <rPr>
            <sz val="8"/>
            <color indexed="81"/>
            <rFont val="Tahoma"/>
            <family val="2"/>
          </rPr>
          <t>Maximum Height/Drop is 3600mm.</t>
        </r>
      </text>
    </comment>
    <comment ref="H41" authorId="0" shapeId="0" xr:uid="{00000000-0006-0000-0200-0000EC000000}">
      <text>
        <r>
          <rPr>
            <sz val="8"/>
            <color indexed="81"/>
            <rFont val="Tahoma"/>
            <family val="2"/>
          </rPr>
          <t>When selecting a
Corner or Bay Window Type, 
the CMB Corner WS or CMB Bay WS 
must be completed.</t>
        </r>
      </text>
    </comment>
    <comment ref="J41" authorId="0" shapeId="0" xr:uid="{00000000-0006-0000-0200-0000ED000000}">
      <text>
        <r>
          <rPr>
            <sz val="8"/>
            <color indexed="81"/>
            <rFont val="Tahoma"/>
            <family val="2"/>
          </rPr>
          <t>ACT 
Actual Measurements
You have made the allowances.
NAM
No Allowances Made 
The factory will make the deductions.</t>
        </r>
      </text>
    </comment>
    <comment ref="O41" authorId="0" shapeId="0" xr:uid="{00000000-0006-0000-0200-0000EE000000}">
      <text>
        <r>
          <rPr>
            <sz val="8"/>
            <color indexed="81"/>
            <rFont val="Tahoma"/>
            <family val="2"/>
          </rPr>
          <t>When Yes, Cut Out measurements must be supplied in the next cells.</t>
        </r>
      </text>
    </comment>
    <comment ref="R41" authorId="0" shapeId="0" xr:uid="{00000000-0006-0000-0200-0000EF000000}">
      <text>
        <r>
          <rPr>
            <sz val="8"/>
            <color indexed="81"/>
            <rFont val="Tahoma"/>
            <family val="2"/>
          </rPr>
          <t>Blind Width          Maximum Cut Out Width
270 - 299mm       80mm
300 - 400mm       90mm
401 - 527mm        110mm
528 - 850mm       140mm
  &gt; 851mm              165mm</t>
        </r>
      </text>
    </comment>
    <comment ref="T41" authorId="0" shapeId="0" xr:uid="{00000000-0006-0000-0200-0000F0000000}">
      <text>
        <r>
          <rPr>
            <sz val="8"/>
            <color indexed="81"/>
            <rFont val="Tahoma"/>
            <family val="2"/>
          </rPr>
          <t>Blind Width          Maximum Cut Out Width
270 - 299mm       80mm
300 - 400mm       90mm
401 - 527mm        110mm
528 - 850mm       140mm
  &gt; 851mm              165mm</t>
        </r>
      </text>
    </comment>
    <comment ref="F42" authorId="0" shapeId="0" xr:uid="{00000000-0006-0000-0200-0000F1000000}">
      <text>
        <r>
          <rPr>
            <sz val="8"/>
            <color indexed="81"/>
            <rFont val="Tahoma"/>
            <family val="2"/>
          </rPr>
          <t>Minimum Width is 270mm.
Maximum Width is 2700mm.
All openings over 2700mm wide will require 
multiple Blinds.</t>
        </r>
      </text>
    </comment>
    <comment ref="G42" authorId="0" shapeId="0" xr:uid="{00000000-0006-0000-0200-0000F2000000}">
      <text>
        <r>
          <rPr>
            <sz val="8"/>
            <color indexed="81"/>
            <rFont val="Tahoma"/>
            <family val="2"/>
          </rPr>
          <t>Maximum Height/Drop is 3600mm.</t>
        </r>
      </text>
    </comment>
    <comment ref="H42" authorId="0" shapeId="0" xr:uid="{00000000-0006-0000-0200-0000F3000000}">
      <text>
        <r>
          <rPr>
            <sz val="8"/>
            <color indexed="81"/>
            <rFont val="Tahoma"/>
            <family val="2"/>
          </rPr>
          <t>When selecting a
Corner or Bay Window Type, 
the CMB Corner WS or CMB Bay WS 
must be completed.</t>
        </r>
      </text>
    </comment>
    <comment ref="J42" authorId="0" shapeId="0" xr:uid="{00000000-0006-0000-0200-0000F4000000}">
      <text>
        <r>
          <rPr>
            <sz val="8"/>
            <color indexed="81"/>
            <rFont val="Tahoma"/>
            <family val="2"/>
          </rPr>
          <t>ACT 
Actual Measurements
You have made the allowances.
NAM
No Allowances Made 
The factory will make the deductions.</t>
        </r>
      </text>
    </comment>
    <comment ref="O42" authorId="0" shapeId="0" xr:uid="{00000000-0006-0000-0200-0000F5000000}">
      <text>
        <r>
          <rPr>
            <sz val="8"/>
            <color indexed="81"/>
            <rFont val="Tahoma"/>
            <family val="2"/>
          </rPr>
          <t>When Yes, Cut Out measurements must be supplied in the next cells.</t>
        </r>
      </text>
    </comment>
    <comment ref="R42" authorId="0" shapeId="0" xr:uid="{00000000-0006-0000-0200-0000F6000000}">
      <text>
        <r>
          <rPr>
            <sz val="8"/>
            <color indexed="81"/>
            <rFont val="Tahoma"/>
            <family val="2"/>
          </rPr>
          <t>Blind Width          Maximum Cut Out Width
270 - 299mm       80mm
300 - 400mm       90mm
401 - 527mm        110mm
528 - 850mm       140mm
  &gt; 851mm              165mm</t>
        </r>
      </text>
    </comment>
    <comment ref="T42" authorId="0" shapeId="0" xr:uid="{00000000-0006-0000-0200-0000F7000000}">
      <text>
        <r>
          <rPr>
            <sz val="8"/>
            <color indexed="81"/>
            <rFont val="Tahoma"/>
            <family val="2"/>
          </rPr>
          <t>Blind Width          Maximum Cut Out Width
270 - 299mm       80mm
300 - 400mm       90mm
401 - 527mm        110mm
528 - 850mm       140mm
  &gt; 851mm              165mm</t>
        </r>
      </text>
    </comment>
    <comment ref="F43" authorId="0" shapeId="0" xr:uid="{00000000-0006-0000-0200-0000F8000000}">
      <text>
        <r>
          <rPr>
            <sz val="8"/>
            <color indexed="81"/>
            <rFont val="Tahoma"/>
            <family val="2"/>
          </rPr>
          <t>Minimum Width is 270mm.
Maximum Width is 2700mm.
All openings over 2700mm wide will require 
multiple Blinds.</t>
        </r>
      </text>
    </comment>
    <comment ref="G43" authorId="0" shapeId="0" xr:uid="{00000000-0006-0000-0200-0000F9000000}">
      <text>
        <r>
          <rPr>
            <sz val="8"/>
            <color indexed="81"/>
            <rFont val="Tahoma"/>
            <family val="2"/>
          </rPr>
          <t>Maximum Height/Drop is 3600mm.</t>
        </r>
      </text>
    </comment>
    <comment ref="H43" authorId="0" shapeId="0" xr:uid="{00000000-0006-0000-0200-0000FA000000}">
      <text>
        <r>
          <rPr>
            <sz val="8"/>
            <color indexed="81"/>
            <rFont val="Tahoma"/>
            <family val="2"/>
          </rPr>
          <t>When selecting a
Corner or Bay Window Type, 
the CMB Corner WS or CMB Bay WS 
must be completed.</t>
        </r>
      </text>
    </comment>
    <comment ref="J43" authorId="0" shapeId="0" xr:uid="{00000000-0006-0000-0200-0000FB000000}">
      <text>
        <r>
          <rPr>
            <sz val="8"/>
            <color indexed="81"/>
            <rFont val="Tahoma"/>
            <family val="2"/>
          </rPr>
          <t>ACT 
Actual Measurements
You have made the allowances.
NAM
No Allowances Made 
The factory will make the deductions.</t>
        </r>
      </text>
    </comment>
    <comment ref="O43" authorId="0" shapeId="0" xr:uid="{00000000-0006-0000-0200-0000FC000000}">
      <text>
        <r>
          <rPr>
            <sz val="8"/>
            <color indexed="81"/>
            <rFont val="Tahoma"/>
            <family val="2"/>
          </rPr>
          <t>When Yes, Cut Out measurements must be supplied in the next cells.</t>
        </r>
      </text>
    </comment>
    <comment ref="R43" authorId="0" shapeId="0" xr:uid="{00000000-0006-0000-0200-0000FD000000}">
      <text>
        <r>
          <rPr>
            <sz val="8"/>
            <color indexed="81"/>
            <rFont val="Tahoma"/>
            <family val="2"/>
          </rPr>
          <t>Blind Width          Maximum Cut Out Width
270 - 299mm       80mm
300 - 400mm       90mm
401 - 527mm        110mm
528 - 850mm       140mm
  &gt; 851mm              165mm</t>
        </r>
      </text>
    </comment>
    <comment ref="T43" authorId="0" shapeId="0" xr:uid="{00000000-0006-0000-0200-0000FE000000}">
      <text>
        <r>
          <rPr>
            <sz val="8"/>
            <color indexed="81"/>
            <rFont val="Tahoma"/>
            <family val="2"/>
          </rPr>
          <t>Blind Width          Maximum Cut Out Width
270 - 299mm       80mm
300 - 400mm       90mm
401 - 527mm        110mm
528 - 850mm       140mm
  &gt; 851mm              165mm</t>
        </r>
      </text>
    </comment>
    <comment ref="F44" authorId="0" shapeId="0" xr:uid="{00000000-0006-0000-0200-0000FF000000}">
      <text>
        <r>
          <rPr>
            <sz val="8"/>
            <color indexed="81"/>
            <rFont val="Tahoma"/>
            <family val="2"/>
          </rPr>
          <t>Minimum Width is 270mm.
Maximum Width is 2700mm.
All openings over 2700mm wide will require 
multiple Blinds.</t>
        </r>
      </text>
    </comment>
    <comment ref="G44" authorId="0" shapeId="0" xr:uid="{00000000-0006-0000-0200-000000010000}">
      <text>
        <r>
          <rPr>
            <sz val="8"/>
            <color indexed="81"/>
            <rFont val="Tahoma"/>
            <family val="2"/>
          </rPr>
          <t>Maximum Height/Drop is 3600mm.</t>
        </r>
      </text>
    </comment>
    <comment ref="H44" authorId="0" shapeId="0" xr:uid="{00000000-0006-0000-0200-000001010000}">
      <text>
        <r>
          <rPr>
            <sz val="8"/>
            <color indexed="81"/>
            <rFont val="Tahoma"/>
            <family val="2"/>
          </rPr>
          <t>When selecting a
Corner or Bay Window Type, 
the CMB Corner WS or CMB Bay WS 
must be completed.</t>
        </r>
      </text>
    </comment>
    <comment ref="J44" authorId="0" shapeId="0" xr:uid="{00000000-0006-0000-0200-000002010000}">
      <text>
        <r>
          <rPr>
            <sz val="8"/>
            <color indexed="81"/>
            <rFont val="Tahoma"/>
            <family val="2"/>
          </rPr>
          <t>ACT 
Actual Measurements
You have made the allowances.
NAM
No Allowances Made 
The factory will make the deductions.</t>
        </r>
      </text>
    </comment>
    <comment ref="O44" authorId="0" shapeId="0" xr:uid="{00000000-0006-0000-0200-000003010000}">
      <text>
        <r>
          <rPr>
            <sz val="8"/>
            <color indexed="81"/>
            <rFont val="Tahoma"/>
            <family val="2"/>
          </rPr>
          <t>When Yes, Cut Out measurements must be supplied in the next cells.</t>
        </r>
      </text>
    </comment>
    <comment ref="R44" authorId="0" shapeId="0" xr:uid="{00000000-0006-0000-0200-000004010000}">
      <text>
        <r>
          <rPr>
            <sz val="8"/>
            <color indexed="81"/>
            <rFont val="Tahoma"/>
            <family val="2"/>
          </rPr>
          <t>Blind Width          Maximum Cut Out Width
270 - 299mm       80mm
300 - 400mm       90mm
401 - 527mm        110mm
528 - 850mm       140mm
  &gt; 851mm              165mm</t>
        </r>
      </text>
    </comment>
    <comment ref="T44" authorId="0" shapeId="0" xr:uid="{00000000-0006-0000-0200-000005010000}">
      <text>
        <r>
          <rPr>
            <sz val="8"/>
            <color indexed="81"/>
            <rFont val="Tahoma"/>
            <family val="2"/>
          </rPr>
          <t>Blind Width          Maximum Cut Out Width
270 - 299mm       80mm
300 - 400mm       90mm
401 - 527mm        110mm
528 - 850mm       140mm
  &gt; 851mm              165mm</t>
        </r>
      </text>
    </comment>
    <comment ref="F45" authorId="0" shapeId="0" xr:uid="{00000000-0006-0000-0200-000006010000}">
      <text>
        <r>
          <rPr>
            <sz val="8"/>
            <color indexed="81"/>
            <rFont val="Tahoma"/>
            <family val="2"/>
          </rPr>
          <t>Minimum Width is 270mm.
Maximum Width is 2700mm.
All openings over 2700mm wide will require 
multiple Blinds.</t>
        </r>
      </text>
    </comment>
    <comment ref="G45" authorId="0" shapeId="0" xr:uid="{00000000-0006-0000-0200-000007010000}">
      <text>
        <r>
          <rPr>
            <sz val="8"/>
            <color indexed="81"/>
            <rFont val="Tahoma"/>
            <family val="2"/>
          </rPr>
          <t>Maximum Height/Drop is 3600mm.</t>
        </r>
      </text>
    </comment>
    <comment ref="H45" authorId="0" shapeId="0" xr:uid="{00000000-0006-0000-0200-000008010000}">
      <text>
        <r>
          <rPr>
            <sz val="8"/>
            <color indexed="81"/>
            <rFont val="Tahoma"/>
            <family val="2"/>
          </rPr>
          <t>When selecting a
Corner or Bay Window Type, 
the CMB Corner WS or CMB Bay WS 
must be completed.</t>
        </r>
      </text>
    </comment>
    <comment ref="J45" authorId="0" shapeId="0" xr:uid="{00000000-0006-0000-0200-000009010000}">
      <text>
        <r>
          <rPr>
            <sz val="8"/>
            <color indexed="81"/>
            <rFont val="Tahoma"/>
            <family val="2"/>
          </rPr>
          <t>ACT 
Actual Measurements
You have made the allowances.
NAM
No Allowances Made 
The factory will make the deductions.</t>
        </r>
      </text>
    </comment>
    <comment ref="O45" authorId="0" shapeId="0" xr:uid="{00000000-0006-0000-0200-00000A010000}">
      <text>
        <r>
          <rPr>
            <sz val="8"/>
            <color indexed="81"/>
            <rFont val="Tahoma"/>
            <family val="2"/>
          </rPr>
          <t>When Yes, Cut Out measurements must be supplied in the next cells.</t>
        </r>
      </text>
    </comment>
    <comment ref="R45" authorId="0" shapeId="0" xr:uid="{00000000-0006-0000-0200-00000B010000}">
      <text>
        <r>
          <rPr>
            <sz val="8"/>
            <color indexed="81"/>
            <rFont val="Tahoma"/>
            <family val="2"/>
          </rPr>
          <t>Blind Width          Maximum Cut Out Width
270 - 299mm       80mm
300 - 400mm       90mm
401 - 527mm        110mm
528 - 850mm       140mm
  &gt; 851mm              165mm</t>
        </r>
      </text>
    </comment>
    <comment ref="T45" authorId="0" shapeId="0" xr:uid="{00000000-0006-0000-0200-00000C010000}">
      <text>
        <r>
          <rPr>
            <sz val="8"/>
            <color indexed="81"/>
            <rFont val="Tahoma"/>
            <family val="2"/>
          </rPr>
          <t>Blind Width          Maximum Cut Out Width
270 - 299mm       80mm
300 - 400mm       90mm
401 - 527mm        110mm
528 - 850mm       140mm
  &gt; 851mm              165mm</t>
        </r>
      </text>
    </comment>
    <comment ref="F46" authorId="0" shapeId="0" xr:uid="{00000000-0006-0000-0200-00000D010000}">
      <text>
        <r>
          <rPr>
            <sz val="8"/>
            <color indexed="81"/>
            <rFont val="Tahoma"/>
            <family val="2"/>
          </rPr>
          <t>Minimum Width is 270mm.
Maximum Width is 2700mm.
All openings over 2700mm wide will require 
multiple Blinds.</t>
        </r>
      </text>
    </comment>
    <comment ref="G46" authorId="0" shapeId="0" xr:uid="{00000000-0006-0000-0200-00000E010000}">
      <text>
        <r>
          <rPr>
            <sz val="8"/>
            <color indexed="81"/>
            <rFont val="Tahoma"/>
            <family val="2"/>
          </rPr>
          <t>Maximum Height/Drop is 3600mm.</t>
        </r>
      </text>
    </comment>
    <comment ref="H46" authorId="0" shapeId="0" xr:uid="{00000000-0006-0000-0200-00000F010000}">
      <text>
        <r>
          <rPr>
            <sz val="8"/>
            <color indexed="81"/>
            <rFont val="Tahoma"/>
            <family val="2"/>
          </rPr>
          <t>When selecting a
Corner or Bay Window Type, 
the CMB Corner WS or CMB Bay WS 
must be completed.</t>
        </r>
      </text>
    </comment>
    <comment ref="J46" authorId="0" shapeId="0" xr:uid="{00000000-0006-0000-0200-000010010000}">
      <text>
        <r>
          <rPr>
            <sz val="8"/>
            <color indexed="81"/>
            <rFont val="Tahoma"/>
            <family val="2"/>
          </rPr>
          <t>ACT 
Actual Measurements
You have made the allowances.
NAM
No Allowances Made 
The factory will make the deductions.</t>
        </r>
      </text>
    </comment>
    <comment ref="O46" authorId="0" shapeId="0" xr:uid="{00000000-0006-0000-0200-000011010000}">
      <text>
        <r>
          <rPr>
            <sz val="8"/>
            <color indexed="81"/>
            <rFont val="Tahoma"/>
            <family val="2"/>
          </rPr>
          <t>When Yes, Cut Out measurements must be supplied in the next cells.</t>
        </r>
      </text>
    </comment>
    <comment ref="R46" authorId="0" shapeId="0" xr:uid="{00000000-0006-0000-0200-000012010000}">
      <text>
        <r>
          <rPr>
            <sz val="8"/>
            <color indexed="81"/>
            <rFont val="Tahoma"/>
            <family val="2"/>
          </rPr>
          <t>Blind Width          Maximum Cut Out Width
270 - 299mm       80mm
300 - 400mm       90mm
401 - 527mm        110mm
528 - 850mm       140mm
  &gt; 851mm              165mm</t>
        </r>
      </text>
    </comment>
    <comment ref="T46" authorId="0" shapeId="0" xr:uid="{00000000-0006-0000-0200-000013010000}">
      <text>
        <r>
          <rPr>
            <sz val="8"/>
            <color indexed="81"/>
            <rFont val="Tahoma"/>
            <family val="2"/>
          </rPr>
          <t>Blind Width          Maximum Cut Out Width
270 - 299mm       80mm
300 - 400mm       90mm
401 - 527mm        110mm
528 - 850mm       140mm
  &gt; 851mm              165mm</t>
        </r>
      </text>
    </comment>
    <comment ref="F47" authorId="0" shapeId="0" xr:uid="{00000000-0006-0000-0200-000014010000}">
      <text>
        <r>
          <rPr>
            <sz val="8"/>
            <color indexed="81"/>
            <rFont val="Tahoma"/>
            <family val="2"/>
          </rPr>
          <t>Minimum Width is 270mm.
Maximum Width is 2700mm.
All openings over 2700mm wide will require 
multiple Blinds.</t>
        </r>
      </text>
    </comment>
    <comment ref="G47" authorId="0" shapeId="0" xr:uid="{00000000-0006-0000-0200-000015010000}">
      <text>
        <r>
          <rPr>
            <sz val="8"/>
            <color indexed="81"/>
            <rFont val="Tahoma"/>
            <family val="2"/>
          </rPr>
          <t>Maximum Height/Drop is 3600mm.</t>
        </r>
      </text>
    </comment>
    <comment ref="H47" authorId="0" shapeId="0" xr:uid="{00000000-0006-0000-0200-000016010000}">
      <text>
        <r>
          <rPr>
            <sz val="8"/>
            <color indexed="81"/>
            <rFont val="Tahoma"/>
            <family val="2"/>
          </rPr>
          <t>When selecting a
Corner or Bay Window Type, 
the CMB Corner WS or CMB Bay WS 
must be completed.</t>
        </r>
      </text>
    </comment>
    <comment ref="J47" authorId="0" shapeId="0" xr:uid="{00000000-0006-0000-0200-000017010000}">
      <text>
        <r>
          <rPr>
            <sz val="8"/>
            <color indexed="81"/>
            <rFont val="Tahoma"/>
            <family val="2"/>
          </rPr>
          <t>ACT 
Actual Measurements
You have made the allowances.
NAM
No Allowances Made 
The factory will make the deductions.</t>
        </r>
      </text>
    </comment>
    <comment ref="O47" authorId="0" shapeId="0" xr:uid="{00000000-0006-0000-0200-000018010000}">
      <text>
        <r>
          <rPr>
            <sz val="8"/>
            <color indexed="81"/>
            <rFont val="Tahoma"/>
            <family val="2"/>
          </rPr>
          <t>When Yes, Cut Out measurements must be supplied in the next cells.</t>
        </r>
      </text>
    </comment>
    <comment ref="R47" authorId="0" shapeId="0" xr:uid="{00000000-0006-0000-0200-000019010000}">
      <text>
        <r>
          <rPr>
            <sz val="8"/>
            <color indexed="81"/>
            <rFont val="Tahoma"/>
            <family val="2"/>
          </rPr>
          <t>Blind Width          Maximum Cut Out Width
270 - 299mm       80mm
300 - 400mm       90mm
401 - 527mm        110mm
528 - 850mm       140mm
  &gt; 851mm              165mm</t>
        </r>
      </text>
    </comment>
    <comment ref="T47" authorId="0" shapeId="0" xr:uid="{00000000-0006-0000-0200-00001A010000}">
      <text>
        <r>
          <rPr>
            <sz val="8"/>
            <color indexed="81"/>
            <rFont val="Tahoma"/>
            <family val="2"/>
          </rPr>
          <t>Blind Width          Maximum Cut Out Width
270 - 299mm       80mm
300 - 400mm       90mm
401 - 527mm        110mm
528 - 850mm       140mm
  &gt; 851mm              165mm</t>
        </r>
      </text>
    </comment>
    <comment ref="F48" authorId="0" shapeId="0" xr:uid="{00000000-0006-0000-0200-00001B010000}">
      <text>
        <r>
          <rPr>
            <sz val="8"/>
            <color indexed="81"/>
            <rFont val="Tahoma"/>
            <family val="2"/>
          </rPr>
          <t>Minimum Width is 270mm.
Maximum Width is 2700mm.
All openings over 2700mm wide will require 
multiple Blinds.</t>
        </r>
      </text>
    </comment>
    <comment ref="G48" authorId="0" shapeId="0" xr:uid="{00000000-0006-0000-0200-00001C010000}">
      <text>
        <r>
          <rPr>
            <sz val="8"/>
            <color indexed="81"/>
            <rFont val="Tahoma"/>
            <family val="2"/>
          </rPr>
          <t>Maximum Height/Drop is 3600mm.</t>
        </r>
      </text>
    </comment>
    <comment ref="H48" authorId="0" shapeId="0" xr:uid="{00000000-0006-0000-0200-00001D010000}">
      <text>
        <r>
          <rPr>
            <sz val="8"/>
            <color indexed="81"/>
            <rFont val="Tahoma"/>
            <family val="2"/>
          </rPr>
          <t>When selecting a
Corner or Bay Window Type, 
the CMB Corner WS or CMB Bay WS 
must be completed.</t>
        </r>
      </text>
    </comment>
    <comment ref="J48" authorId="0" shapeId="0" xr:uid="{00000000-0006-0000-0200-00001E010000}">
      <text>
        <r>
          <rPr>
            <sz val="8"/>
            <color indexed="81"/>
            <rFont val="Tahoma"/>
            <family val="2"/>
          </rPr>
          <t>ACT 
Actual Measurements
You have made the allowances.
NAM
No Allowances Made 
The factory will make the deductions.</t>
        </r>
      </text>
    </comment>
    <comment ref="O48" authorId="0" shapeId="0" xr:uid="{00000000-0006-0000-0200-00001F010000}">
      <text>
        <r>
          <rPr>
            <sz val="8"/>
            <color indexed="81"/>
            <rFont val="Tahoma"/>
            <family val="2"/>
          </rPr>
          <t>When Yes, Cut Out measurements must be supplied in the next cells.</t>
        </r>
      </text>
    </comment>
    <comment ref="R48" authorId="0" shapeId="0" xr:uid="{00000000-0006-0000-0200-000020010000}">
      <text>
        <r>
          <rPr>
            <sz val="8"/>
            <color indexed="81"/>
            <rFont val="Tahoma"/>
            <family val="2"/>
          </rPr>
          <t>Blind Width          Maximum Cut Out Width
270 - 299mm       80mm
300 - 400mm       90mm
401 - 527mm        110mm
528 - 850mm       140mm
  &gt; 851mm              165mm</t>
        </r>
      </text>
    </comment>
    <comment ref="T48" authorId="0" shapeId="0" xr:uid="{00000000-0006-0000-0200-000021010000}">
      <text>
        <r>
          <rPr>
            <sz val="8"/>
            <color indexed="81"/>
            <rFont val="Tahoma"/>
            <family val="2"/>
          </rPr>
          <t>Blind Width          Maximum Cut Out Width
270 - 299mm       80mm
300 - 400mm       90mm
401 - 527mm        110mm
528 - 850mm       140mm
  &gt; 851mm              165mm</t>
        </r>
      </text>
    </comment>
    <comment ref="F49" authorId="0" shapeId="0" xr:uid="{00000000-0006-0000-0200-000022010000}">
      <text>
        <r>
          <rPr>
            <sz val="8"/>
            <color indexed="81"/>
            <rFont val="Tahoma"/>
            <family val="2"/>
          </rPr>
          <t>Minimum Width is 270mm.
Maximum Width is 2700mm.
All openings over 2700mm wide will require 
multiple Blinds.</t>
        </r>
      </text>
    </comment>
    <comment ref="G49" authorId="0" shapeId="0" xr:uid="{00000000-0006-0000-0200-000023010000}">
      <text>
        <r>
          <rPr>
            <sz val="8"/>
            <color indexed="81"/>
            <rFont val="Tahoma"/>
            <family val="2"/>
          </rPr>
          <t>Maximum Height/Drop is 3600mm.</t>
        </r>
      </text>
    </comment>
    <comment ref="H49" authorId="0" shapeId="0" xr:uid="{00000000-0006-0000-0200-000024010000}">
      <text>
        <r>
          <rPr>
            <sz val="8"/>
            <color indexed="81"/>
            <rFont val="Tahoma"/>
            <family val="2"/>
          </rPr>
          <t>When selecting a
Corner or Bay Window Type, 
the CMB Corner WS or CMB Bay WS 
must be completed.</t>
        </r>
      </text>
    </comment>
    <comment ref="J49" authorId="0" shapeId="0" xr:uid="{00000000-0006-0000-0200-000025010000}">
      <text>
        <r>
          <rPr>
            <sz val="8"/>
            <color indexed="81"/>
            <rFont val="Tahoma"/>
            <family val="2"/>
          </rPr>
          <t>ACT 
Actual Measurements
You have made the allowances.
NAM
No Allowances Made 
The factory will make the deductions.</t>
        </r>
      </text>
    </comment>
    <comment ref="O49" authorId="0" shapeId="0" xr:uid="{00000000-0006-0000-0200-000026010000}">
      <text>
        <r>
          <rPr>
            <sz val="8"/>
            <color indexed="81"/>
            <rFont val="Tahoma"/>
            <family val="2"/>
          </rPr>
          <t>When Yes, Cut Out measurements must be supplied in the next cells.</t>
        </r>
      </text>
    </comment>
    <comment ref="R49" authorId="0" shapeId="0" xr:uid="{00000000-0006-0000-0200-000027010000}">
      <text>
        <r>
          <rPr>
            <sz val="8"/>
            <color indexed="81"/>
            <rFont val="Tahoma"/>
            <family val="2"/>
          </rPr>
          <t>Blind Width          Maximum Cut Out Width
270 - 299mm       80mm
300 - 400mm       90mm
401 - 527mm        110mm
528 - 850mm       140mm
  &gt; 851mm              165mm</t>
        </r>
      </text>
    </comment>
    <comment ref="T49" authorId="0" shapeId="0" xr:uid="{00000000-0006-0000-0200-000028010000}">
      <text>
        <r>
          <rPr>
            <sz val="8"/>
            <color indexed="81"/>
            <rFont val="Tahoma"/>
            <family val="2"/>
          </rPr>
          <t>Blind Width          Maximum Cut Out Width
270 - 299mm       80mm
300 - 400mm       90mm
401 - 527mm        110mm
528 - 850mm       140mm
  &gt; 851mm              165mm</t>
        </r>
      </text>
    </comment>
    <comment ref="F50" authorId="0" shapeId="0" xr:uid="{00000000-0006-0000-0200-000029010000}">
      <text>
        <r>
          <rPr>
            <sz val="8"/>
            <color indexed="81"/>
            <rFont val="Tahoma"/>
            <family val="2"/>
          </rPr>
          <t>Minimum Width is 270mm.
Maximum Width is 2700mm.
All openings over 2700mm wide will require 
multiple Blinds.</t>
        </r>
      </text>
    </comment>
    <comment ref="G50" authorId="0" shapeId="0" xr:uid="{00000000-0006-0000-0200-00002A010000}">
      <text>
        <r>
          <rPr>
            <sz val="8"/>
            <color indexed="81"/>
            <rFont val="Tahoma"/>
            <family val="2"/>
          </rPr>
          <t>Maximum Height/Drop is 3600mm.</t>
        </r>
      </text>
    </comment>
    <comment ref="H50" authorId="0" shapeId="0" xr:uid="{00000000-0006-0000-0200-00002B010000}">
      <text>
        <r>
          <rPr>
            <sz val="8"/>
            <color indexed="81"/>
            <rFont val="Tahoma"/>
            <family val="2"/>
          </rPr>
          <t>When selecting a
Corner or Bay Window Type, 
the CMB Corner WS or CMB Bay WS 
must be completed.</t>
        </r>
      </text>
    </comment>
    <comment ref="J50" authorId="0" shapeId="0" xr:uid="{00000000-0006-0000-0200-00002C010000}">
      <text>
        <r>
          <rPr>
            <sz val="8"/>
            <color indexed="81"/>
            <rFont val="Tahoma"/>
            <family val="2"/>
          </rPr>
          <t>ACT 
Actual Measurements
You have made the allowances.
NAM
No Allowances Made 
The factory will make the deductions.</t>
        </r>
      </text>
    </comment>
    <comment ref="O50" authorId="0" shapeId="0" xr:uid="{00000000-0006-0000-0200-00002D010000}">
      <text>
        <r>
          <rPr>
            <sz val="8"/>
            <color indexed="81"/>
            <rFont val="Tahoma"/>
            <family val="2"/>
          </rPr>
          <t>When Yes, Cut Out measurements must be supplied in the next cells.</t>
        </r>
      </text>
    </comment>
    <comment ref="R50" authorId="0" shapeId="0" xr:uid="{00000000-0006-0000-0200-00002E010000}">
      <text>
        <r>
          <rPr>
            <sz val="8"/>
            <color indexed="81"/>
            <rFont val="Tahoma"/>
            <family val="2"/>
          </rPr>
          <t>Blind Width          Maximum Cut Out Width
270 - 299mm       80mm
300 - 400mm       90mm
401 - 527mm        110mm
528 - 850mm       140mm
  &gt; 851mm              165mm</t>
        </r>
      </text>
    </comment>
    <comment ref="T50" authorId="0" shapeId="0" xr:uid="{00000000-0006-0000-0200-00002F010000}">
      <text>
        <r>
          <rPr>
            <sz val="8"/>
            <color indexed="81"/>
            <rFont val="Tahoma"/>
            <family val="2"/>
          </rPr>
          <t>Blind Width          Maximum Cut Out Width
270 - 299mm       80mm
300 - 400mm       90mm
401 - 527mm        110mm
528 - 850mm       140mm
  &gt; 851mm              165mm</t>
        </r>
      </text>
    </comment>
    <comment ref="F51" authorId="0" shapeId="0" xr:uid="{00000000-0006-0000-0200-000030010000}">
      <text>
        <r>
          <rPr>
            <sz val="8"/>
            <color indexed="81"/>
            <rFont val="Tahoma"/>
            <family val="2"/>
          </rPr>
          <t>Minimum Width is 270mm.
Maximum Width is 2700mm.
All openings over 2700mm wide will require 
multiple Blinds.</t>
        </r>
      </text>
    </comment>
    <comment ref="G51" authorId="0" shapeId="0" xr:uid="{00000000-0006-0000-0200-000031010000}">
      <text>
        <r>
          <rPr>
            <sz val="8"/>
            <color indexed="81"/>
            <rFont val="Tahoma"/>
            <family val="2"/>
          </rPr>
          <t>Maximum Height/Drop is 3600mm.</t>
        </r>
      </text>
    </comment>
    <comment ref="H51" authorId="0" shapeId="0" xr:uid="{00000000-0006-0000-0200-000032010000}">
      <text>
        <r>
          <rPr>
            <sz val="8"/>
            <color indexed="81"/>
            <rFont val="Tahoma"/>
            <family val="2"/>
          </rPr>
          <t>When selecting a
Corner or Bay Window Type, 
the CMB Corner WS or CMB Bay WS 
must be completed.</t>
        </r>
      </text>
    </comment>
    <comment ref="J51" authorId="0" shapeId="0" xr:uid="{00000000-0006-0000-0200-000033010000}">
      <text>
        <r>
          <rPr>
            <sz val="8"/>
            <color indexed="81"/>
            <rFont val="Tahoma"/>
            <family val="2"/>
          </rPr>
          <t>ACT 
Actual Measurements
You have made the allowances.
NAM
No Allowances Made 
The factory will make the deductions.</t>
        </r>
      </text>
    </comment>
    <comment ref="O51" authorId="0" shapeId="0" xr:uid="{00000000-0006-0000-0200-000034010000}">
      <text>
        <r>
          <rPr>
            <sz val="8"/>
            <color indexed="81"/>
            <rFont val="Tahoma"/>
            <family val="2"/>
          </rPr>
          <t>When Yes, Cut Out measurements must be supplied in the next cells.</t>
        </r>
      </text>
    </comment>
    <comment ref="R51" authorId="0" shapeId="0" xr:uid="{00000000-0006-0000-0200-000035010000}">
      <text>
        <r>
          <rPr>
            <sz val="8"/>
            <color indexed="81"/>
            <rFont val="Tahoma"/>
            <family val="2"/>
          </rPr>
          <t>Blind Width          Maximum Cut Out Width
270 - 299mm       80mm
300 - 400mm       90mm
401 - 527mm        110mm
528 - 850mm       140mm
  &gt; 851mm              165mm</t>
        </r>
      </text>
    </comment>
    <comment ref="T51" authorId="0" shapeId="0" xr:uid="{00000000-0006-0000-0200-000036010000}">
      <text>
        <r>
          <rPr>
            <sz val="8"/>
            <color indexed="81"/>
            <rFont val="Tahoma"/>
            <family val="2"/>
          </rPr>
          <t>Blind Width          Maximum Cut Out Width
270 - 299mm       80mm
300 - 400mm       90mm
401 - 527mm        110mm
528 - 850mm       140mm
  &gt; 851mm              165mm</t>
        </r>
      </text>
    </comment>
    <comment ref="F52" authorId="0" shapeId="0" xr:uid="{00000000-0006-0000-0200-000037010000}">
      <text>
        <r>
          <rPr>
            <sz val="8"/>
            <color indexed="81"/>
            <rFont val="Tahoma"/>
            <family val="2"/>
          </rPr>
          <t>Minimum Width is 270mm.
Maximum Width is 2700mm.
All openings over 2700mm wide will require 
multiple Blinds.</t>
        </r>
      </text>
    </comment>
    <comment ref="G52" authorId="0" shapeId="0" xr:uid="{00000000-0006-0000-0200-000038010000}">
      <text>
        <r>
          <rPr>
            <sz val="8"/>
            <color indexed="81"/>
            <rFont val="Tahoma"/>
            <family val="2"/>
          </rPr>
          <t>Maximum Height/Drop is 3600mm.</t>
        </r>
      </text>
    </comment>
    <comment ref="H52" authorId="0" shapeId="0" xr:uid="{00000000-0006-0000-0200-000039010000}">
      <text>
        <r>
          <rPr>
            <sz val="8"/>
            <color indexed="81"/>
            <rFont val="Tahoma"/>
            <family val="2"/>
          </rPr>
          <t>When selecting a
Corner or Bay Window Type, 
the CMB Corner WS or CMB Bay WS 
must be completed.</t>
        </r>
      </text>
    </comment>
    <comment ref="J52" authorId="0" shapeId="0" xr:uid="{00000000-0006-0000-0200-00003A010000}">
      <text>
        <r>
          <rPr>
            <sz val="8"/>
            <color indexed="81"/>
            <rFont val="Tahoma"/>
            <family val="2"/>
          </rPr>
          <t>ACT 
Actual Measurements
You have made the allowances.
NAM
No Allowances Made 
The factory will make the deductions.</t>
        </r>
      </text>
    </comment>
    <comment ref="O52" authorId="0" shapeId="0" xr:uid="{00000000-0006-0000-0200-00003B010000}">
      <text>
        <r>
          <rPr>
            <sz val="8"/>
            <color indexed="81"/>
            <rFont val="Tahoma"/>
            <family val="2"/>
          </rPr>
          <t>When Yes, Cut Out measurements must be supplied in the next cells.</t>
        </r>
      </text>
    </comment>
    <comment ref="R52" authorId="0" shapeId="0" xr:uid="{00000000-0006-0000-0200-00003C010000}">
      <text>
        <r>
          <rPr>
            <sz val="8"/>
            <color indexed="81"/>
            <rFont val="Tahoma"/>
            <family val="2"/>
          </rPr>
          <t>Blind Width          Maximum Cut Out Width
270 - 299mm       80mm
300 - 400mm       90mm
401 - 527mm        110mm
528 - 850mm       140mm
  &gt; 851mm              165mm</t>
        </r>
      </text>
    </comment>
    <comment ref="T52" authorId="0" shapeId="0" xr:uid="{00000000-0006-0000-0200-00003D010000}">
      <text>
        <r>
          <rPr>
            <sz val="8"/>
            <color indexed="81"/>
            <rFont val="Tahoma"/>
            <family val="2"/>
          </rPr>
          <t>Blind Width          Maximum Cut Out Width
270 - 299mm       80mm
300 - 400mm       90mm
401 - 527mm        110mm
528 - 850mm       140mm
  &gt; 851mm              165mm</t>
        </r>
      </text>
    </comment>
    <comment ref="F53" authorId="0" shapeId="0" xr:uid="{00000000-0006-0000-0200-00003E010000}">
      <text>
        <r>
          <rPr>
            <sz val="8"/>
            <color indexed="81"/>
            <rFont val="Tahoma"/>
            <family val="2"/>
          </rPr>
          <t>Minimum Width is 270mm.
Maximum Width is 2700mm.
All openings over 2700mm wide will require 
multiple Blinds.</t>
        </r>
      </text>
    </comment>
    <comment ref="G53" authorId="0" shapeId="0" xr:uid="{00000000-0006-0000-0200-00003F010000}">
      <text>
        <r>
          <rPr>
            <sz val="8"/>
            <color indexed="81"/>
            <rFont val="Tahoma"/>
            <family val="2"/>
          </rPr>
          <t>Maximum Height/Drop is 3600mm.</t>
        </r>
      </text>
    </comment>
    <comment ref="H53" authorId="0" shapeId="0" xr:uid="{00000000-0006-0000-0200-000040010000}">
      <text>
        <r>
          <rPr>
            <sz val="8"/>
            <color indexed="81"/>
            <rFont val="Tahoma"/>
            <family val="2"/>
          </rPr>
          <t>When selecting a
Corner or Bay Window Type, 
the CMB Corner WS or CMB Bay WS 
must be completed.</t>
        </r>
      </text>
    </comment>
    <comment ref="J53" authorId="0" shapeId="0" xr:uid="{00000000-0006-0000-0200-000041010000}">
      <text>
        <r>
          <rPr>
            <sz val="8"/>
            <color indexed="81"/>
            <rFont val="Tahoma"/>
            <family val="2"/>
          </rPr>
          <t>ACT 
Actual Measurements
You have made the allowances.
NAM
No Allowances Made 
The factory will make the deductions.</t>
        </r>
      </text>
    </comment>
    <comment ref="O53" authorId="0" shapeId="0" xr:uid="{00000000-0006-0000-0200-000042010000}">
      <text>
        <r>
          <rPr>
            <sz val="8"/>
            <color indexed="81"/>
            <rFont val="Tahoma"/>
            <family val="2"/>
          </rPr>
          <t>When Yes, Cut Out measurements must be supplied in the next cells.</t>
        </r>
      </text>
    </comment>
    <comment ref="R53" authorId="0" shapeId="0" xr:uid="{00000000-0006-0000-0200-000043010000}">
      <text>
        <r>
          <rPr>
            <sz val="8"/>
            <color indexed="81"/>
            <rFont val="Tahoma"/>
            <family val="2"/>
          </rPr>
          <t>Blind Width          Maximum Cut Out Width
270 - 299mm       80mm
300 - 400mm       90mm
401 - 527mm        110mm
528 - 850mm       140mm
  &gt; 851mm              165mm</t>
        </r>
      </text>
    </comment>
    <comment ref="T53" authorId="0" shapeId="0" xr:uid="{00000000-0006-0000-0200-000044010000}">
      <text>
        <r>
          <rPr>
            <sz val="8"/>
            <color indexed="81"/>
            <rFont val="Tahoma"/>
            <family val="2"/>
          </rPr>
          <t>Blind Width          Maximum Cut Out Width
270 - 299mm       80mm
300 - 400mm       90mm
401 - 527mm        110mm
528 - 850mm       140mm
  &gt; 851mm              165mm</t>
        </r>
      </text>
    </comment>
    <comment ref="F54" authorId="0" shapeId="0" xr:uid="{00000000-0006-0000-0200-000045010000}">
      <text>
        <r>
          <rPr>
            <sz val="8"/>
            <color indexed="81"/>
            <rFont val="Tahoma"/>
            <family val="2"/>
          </rPr>
          <t>Minimum Width is 270mm.
Maximum Width is 2700mm.
All openings over 2700mm wide will require 
multiple Blinds.</t>
        </r>
      </text>
    </comment>
    <comment ref="G54" authorId="0" shapeId="0" xr:uid="{00000000-0006-0000-0200-000046010000}">
      <text>
        <r>
          <rPr>
            <sz val="8"/>
            <color indexed="81"/>
            <rFont val="Tahoma"/>
            <family val="2"/>
          </rPr>
          <t>Maximum Height/Drop is 3600mm.</t>
        </r>
      </text>
    </comment>
    <comment ref="H54" authorId="0" shapeId="0" xr:uid="{00000000-0006-0000-0200-000047010000}">
      <text>
        <r>
          <rPr>
            <sz val="8"/>
            <color indexed="81"/>
            <rFont val="Tahoma"/>
            <family val="2"/>
          </rPr>
          <t>When selecting a
Corner or Bay Window Type, 
the CMB Corner WS or CMB Bay WS 
must be completed.</t>
        </r>
      </text>
    </comment>
    <comment ref="J54" authorId="0" shapeId="0" xr:uid="{00000000-0006-0000-0200-000048010000}">
      <text>
        <r>
          <rPr>
            <sz val="8"/>
            <color indexed="81"/>
            <rFont val="Tahoma"/>
            <family val="2"/>
          </rPr>
          <t>ACT 
Actual Measurements
You have made the allowances.
NAM
No Allowances Made 
The factory will make the deductions.</t>
        </r>
      </text>
    </comment>
    <comment ref="O54" authorId="0" shapeId="0" xr:uid="{00000000-0006-0000-0200-000049010000}">
      <text>
        <r>
          <rPr>
            <sz val="8"/>
            <color indexed="81"/>
            <rFont val="Tahoma"/>
            <family val="2"/>
          </rPr>
          <t>When Yes, Cut Out measurements must be supplied in the next cells.</t>
        </r>
      </text>
    </comment>
    <comment ref="R54" authorId="0" shapeId="0" xr:uid="{00000000-0006-0000-0200-00004A010000}">
      <text>
        <r>
          <rPr>
            <sz val="8"/>
            <color indexed="81"/>
            <rFont val="Tahoma"/>
            <family val="2"/>
          </rPr>
          <t>Blind Width          Maximum Cut Out Width
270 - 299mm       80mm
300 - 400mm       90mm
401 - 527mm        110mm
528 - 850mm       140mm
  &gt; 851mm              165mm</t>
        </r>
      </text>
    </comment>
    <comment ref="T54" authorId="0" shapeId="0" xr:uid="{00000000-0006-0000-0200-00004B010000}">
      <text>
        <r>
          <rPr>
            <sz val="8"/>
            <color indexed="81"/>
            <rFont val="Tahoma"/>
            <family val="2"/>
          </rPr>
          <t>Blind Width          Maximum Cut Out Width
270 - 299mm       80mm
300 - 400mm       90mm
401 - 527mm        110mm
528 - 850mm       140mm
  &gt; 851mm              165mm</t>
        </r>
      </text>
    </comment>
    <comment ref="F55" authorId="0" shapeId="0" xr:uid="{00000000-0006-0000-0200-00004C010000}">
      <text>
        <r>
          <rPr>
            <sz val="8"/>
            <color indexed="81"/>
            <rFont val="Tahoma"/>
            <family val="2"/>
          </rPr>
          <t>Minimum Width is 270mm.
Maximum Width is 2700mm.
All openings over 2700mm wide will require 
multiple Blinds.</t>
        </r>
      </text>
    </comment>
    <comment ref="G55" authorId="0" shapeId="0" xr:uid="{00000000-0006-0000-0200-00004D010000}">
      <text>
        <r>
          <rPr>
            <sz val="8"/>
            <color indexed="81"/>
            <rFont val="Tahoma"/>
            <family val="2"/>
          </rPr>
          <t>Maximum Height/Drop is 3600mm.</t>
        </r>
      </text>
    </comment>
    <comment ref="H55" authorId="0" shapeId="0" xr:uid="{00000000-0006-0000-0200-00004E010000}">
      <text>
        <r>
          <rPr>
            <sz val="8"/>
            <color indexed="81"/>
            <rFont val="Tahoma"/>
            <family val="2"/>
          </rPr>
          <t>When selecting a
Corner or Bay Window Type, 
the CMB Corner WS or CMB Bay WS 
must be completed.</t>
        </r>
      </text>
    </comment>
    <comment ref="J55" authorId="0" shapeId="0" xr:uid="{00000000-0006-0000-0200-00004F010000}">
      <text>
        <r>
          <rPr>
            <sz val="8"/>
            <color indexed="81"/>
            <rFont val="Tahoma"/>
            <family val="2"/>
          </rPr>
          <t>ACT 
Actual Measurements
You have made the allowances.
NAM
No Allowances Made 
The factory will make the deductions.</t>
        </r>
      </text>
    </comment>
    <comment ref="O55" authorId="0" shapeId="0" xr:uid="{00000000-0006-0000-0200-000050010000}">
      <text>
        <r>
          <rPr>
            <sz val="8"/>
            <color indexed="81"/>
            <rFont val="Tahoma"/>
            <family val="2"/>
          </rPr>
          <t>When Yes, Cut Out measurements must be supplied in the next cells.</t>
        </r>
      </text>
    </comment>
    <comment ref="R55" authorId="0" shapeId="0" xr:uid="{00000000-0006-0000-0200-000051010000}">
      <text>
        <r>
          <rPr>
            <sz val="8"/>
            <color indexed="81"/>
            <rFont val="Tahoma"/>
            <family val="2"/>
          </rPr>
          <t>Blind Width          Maximum Cut Out Width
270 - 299mm       80mm
300 - 400mm       90mm
401 - 527mm        110mm
528 - 850mm       140mm
  &gt; 851mm              165mm</t>
        </r>
      </text>
    </comment>
    <comment ref="T55" authorId="0" shapeId="0" xr:uid="{00000000-0006-0000-0200-000052010000}">
      <text>
        <r>
          <rPr>
            <sz val="8"/>
            <color indexed="81"/>
            <rFont val="Tahoma"/>
            <family val="2"/>
          </rPr>
          <t>Blind Width          Maximum Cut Out Width
270 - 299mm       80mm
300 - 400mm       90mm
401 - 527mm        110mm
528 - 850mm       140mm
  &gt; 851mm              165mm</t>
        </r>
      </text>
    </comment>
    <comment ref="F56" authorId="0" shapeId="0" xr:uid="{00000000-0006-0000-0200-000053010000}">
      <text>
        <r>
          <rPr>
            <sz val="8"/>
            <color indexed="81"/>
            <rFont val="Tahoma"/>
            <family val="2"/>
          </rPr>
          <t>Minimum Width is 270mm.
Maximum Width is 2700mm.
All openings over 2700mm wide will require 
multiple Blinds.</t>
        </r>
      </text>
    </comment>
    <comment ref="G56" authorId="0" shapeId="0" xr:uid="{00000000-0006-0000-0200-000054010000}">
      <text>
        <r>
          <rPr>
            <sz val="8"/>
            <color indexed="81"/>
            <rFont val="Tahoma"/>
            <family val="2"/>
          </rPr>
          <t>Maximum Height/Drop is 3600mm.</t>
        </r>
      </text>
    </comment>
    <comment ref="H56" authorId="0" shapeId="0" xr:uid="{00000000-0006-0000-0200-000055010000}">
      <text>
        <r>
          <rPr>
            <sz val="8"/>
            <color indexed="81"/>
            <rFont val="Tahoma"/>
            <family val="2"/>
          </rPr>
          <t>When selecting a
Corner or Bay Window Type, 
the CMB Corner WS or CMB Bay WS 
must be completed.</t>
        </r>
      </text>
    </comment>
    <comment ref="J56" authorId="0" shapeId="0" xr:uid="{00000000-0006-0000-0200-000056010000}">
      <text>
        <r>
          <rPr>
            <sz val="8"/>
            <color indexed="81"/>
            <rFont val="Tahoma"/>
            <family val="2"/>
          </rPr>
          <t>ACT 
Actual Measurements
You have made the allowances.
NAM
No Allowances Made 
The factory will make the deductions.</t>
        </r>
      </text>
    </comment>
    <comment ref="O56" authorId="0" shapeId="0" xr:uid="{00000000-0006-0000-0200-000057010000}">
      <text>
        <r>
          <rPr>
            <sz val="8"/>
            <color indexed="81"/>
            <rFont val="Tahoma"/>
            <family val="2"/>
          </rPr>
          <t>When Yes, Cut Out measurements must be supplied in the next cells.</t>
        </r>
      </text>
    </comment>
    <comment ref="R56" authorId="0" shapeId="0" xr:uid="{00000000-0006-0000-0200-000058010000}">
      <text>
        <r>
          <rPr>
            <sz val="8"/>
            <color indexed="81"/>
            <rFont val="Tahoma"/>
            <family val="2"/>
          </rPr>
          <t>Blind Width          Maximum Cut Out Width
270 - 299mm       80mm
300 - 400mm       90mm
401 - 527mm        110mm
528 - 850mm       140mm
  &gt; 851mm              165mm</t>
        </r>
      </text>
    </comment>
    <comment ref="T56" authorId="0" shapeId="0" xr:uid="{00000000-0006-0000-0200-000059010000}">
      <text>
        <r>
          <rPr>
            <sz val="8"/>
            <color indexed="81"/>
            <rFont val="Tahoma"/>
            <family val="2"/>
          </rPr>
          <t>Blind Width          Maximum Cut Out Width
270 - 299mm       80mm
300 - 400mm       90mm
401 - 527mm        110mm
528 - 850mm       140mm
  &gt; 851mm              165mm</t>
        </r>
      </text>
    </comment>
    <comment ref="F57" authorId="0" shapeId="0" xr:uid="{00000000-0006-0000-0200-00005A010000}">
      <text>
        <r>
          <rPr>
            <sz val="8"/>
            <color indexed="81"/>
            <rFont val="Tahoma"/>
            <family val="2"/>
          </rPr>
          <t>Minimum Width is 270mm.
Maximum Width is 2700mm.
All openings over 2700mm wide will require 
multiple Blinds.</t>
        </r>
      </text>
    </comment>
    <comment ref="G57" authorId="0" shapeId="0" xr:uid="{00000000-0006-0000-0200-00005B010000}">
      <text>
        <r>
          <rPr>
            <sz val="8"/>
            <color indexed="81"/>
            <rFont val="Tahoma"/>
            <family val="2"/>
          </rPr>
          <t>Maximum Height/Drop is 3600mm.</t>
        </r>
      </text>
    </comment>
    <comment ref="H57" authorId="0" shapeId="0" xr:uid="{00000000-0006-0000-0200-00005C010000}">
      <text>
        <r>
          <rPr>
            <sz val="8"/>
            <color indexed="81"/>
            <rFont val="Tahoma"/>
            <family val="2"/>
          </rPr>
          <t>When selecting a
Corner or Bay Window Type, 
the CMB Corner WS or CMB Bay WS 
must be completed.</t>
        </r>
      </text>
    </comment>
    <comment ref="J57" authorId="0" shapeId="0" xr:uid="{00000000-0006-0000-0200-00005D010000}">
      <text>
        <r>
          <rPr>
            <sz val="8"/>
            <color indexed="81"/>
            <rFont val="Tahoma"/>
            <family val="2"/>
          </rPr>
          <t>ACT 
Actual Measurements
You have made the allowances.
NAM
No Allowances Made 
The factory will make the deductions.</t>
        </r>
      </text>
    </comment>
    <comment ref="O57" authorId="0" shapeId="0" xr:uid="{00000000-0006-0000-0200-00005E010000}">
      <text>
        <r>
          <rPr>
            <sz val="8"/>
            <color indexed="81"/>
            <rFont val="Tahoma"/>
            <family val="2"/>
          </rPr>
          <t>When Yes, Cut Out measurements must be supplied in the next cells.</t>
        </r>
      </text>
    </comment>
    <comment ref="R57" authorId="0" shapeId="0" xr:uid="{00000000-0006-0000-0200-00005F010000}">
      <text>
        <r>
          <rPr>
            <sz val="8"/>
            <color indexed="81"/>
            <rFont val="Tahoma"/>
            <family val="2"/>
          </rPr>
          <t>Blind Width          Maximum Cut Out Width
270 - 299mm       80mm
300 - 400mm       90mm
401 - 527mm        110mm
528 - 850mm       140mm
  &gt; 851mm              165mm</t>
        </r>
      </text>
    </comment>
    <comment ref="T57" authorId="0" shapeId="0" xr:uid="{00000000-0006-0000-0200-000060010000}">
      <text>
        <r>
          <rPr>
            <sz val="8"/>
            <color indexed="81"/>
            <rFont val="Tahoma"/>
            <family val="2"/>
          </rPr>
          <t>Blind Width          Maximum Cut Out Width
270 - 299mm       80mm
300 - 400mm       90mm
401 - 527mm        110mm
528 - 850mm       140mm
  &gt; 851mm              165mm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J7" authorId="0" shapeId="0" xr:uid="{00000000-0006-0000-0300-000001000000}">
      <text>
        <r>
          <rPr>
            <sz val="8"/>
            <color indexed="81"/>
            <rFont val="Tahoma"/>
            <family val="2"/>
          </rPr>
          <t>ACT 
Actual Measurements
You have made the allowances.
NAM
No Allowances Made 
The factory will make the deductions.</t>
        </r>
      </text>
    </comment>
    <comment ref="Q7" authorId="0" shapeId="0" xr:uid="{00000000-0006-0000-0300-000002000000}">
      <text>
        <r>
          <rPr>
            <sz val="8"/>
            <color indexed="81"/>
            <rFont val="Tahoma"/>
            <family val="2"/>
          </rPr>
          <t>When left blank, 
no Cut Out applies.</t>
        </r>
      </text>
    </comment>
    <comment ref="F8" authorId="0" shapeId="0" xr:uid="{00000000-0006-0000-0300-000003000000}">
      <text>
        <r>
          <rPr>
            <sz val="8"/>
            <color indexed="81"/>
            <rFont val="Tahoma"/>
            <family val="2"/>
          </rPr>
          <t>Minimum Width is 222mm.
Maximum Width is 3000mm. 
All openings over 3000mm wide will require multiple Blinds.</t>
        </r>
      </text>
    </comment>
    <comment ref="G8" authorId="0" shapeId="0" xr:uid="{00000000-0006-0000-0300-000004000000}">
      <text>
        <r>
          <rPr>
            <sz val="8"/>
            <color indexed="81"/>
            <rFont val="Tahoma"/>
            <family val="2"/>
          </rPr>
          <t xml:space="preserve">Minimum Height/Drop is 200mm.
Maximum Height/Drop is 3000mm. </t>
        </r>
      </text>
    </comment>
    <comment ref="H8" authorId="0" shapeId="0" xr:uid="{00000000-0006-0000-0300-000005000000}">
      <text>
        <r>
          <rPr>
            <sz val="8"/>
            <color indexed="81"/>
            <rFont val="Tahoma"/>
            <family val="2"/>
          </rPr>
          <t>When selecting a
Corner or Bay 
Window Type, 
the CMB Corner WS or 
CMB Bay WS 
must be completed.</t>
        </r>
      </text>
    </comment>
    <comment ref="J8" authorId="0" shapeId="0" xr:uid="{00000000-0006-0000-0300-000006000000}">
      <text>
        <r>
          <rPr>
            <sz val="8"/>
            <color indexed="81"/>
            <rFont val="Tahoma"/>
            <family val="2"/>
          </rPr>
          <t>ACT 
Actual Measurements
You have made the allowances.
NAM
No Allowances Made 
The factory will make the deductions.</t>
        </r>
      </text>
    </comment>
    <comment ref="O8" authorId="0" shapeId="0" xr:uid="{00000000-0006-0000-0300-000007000000}">
      <text>
        <r>
          <rPr>
            <sz val="8"/>
            <color indexed="81"/>
            <rFont val="Tahoma"/>
            <family val="2"/>
          </rPr>
          <t>Standard is default.
Common Fascia is when the same Fascia used for two Blinds.</t>
        </r>
      </text>
    </comment>
    <comment ref="S8" authorId="0" shapeId="0" xr:uid="{00000000-0006-0000-0300-000008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8" authorId="0" shapeId="0" xr:uid="{00000000-0006-0000-0300-000009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9" authorId="0" shapeId="0" xr:uid="{00000000-0006-0000-0300-00000A000000}">
      <text>
        <r>
          <rPr>
            <sz val="8"/>
            <color indexed="81"/>
            <rFont val="Tahoma"/>
            <family val="2"/>
          </rPr>
          <t>Minimum Width is 222mm.
Maximum Width is 3000mm. 
All openings over 3000mm wide will require multiple Blinds.</t>
        </r>
      </text>
    </comment>
    <comment ref="G9" authorId="0" shapeId="0" xr:uid="{00000000-0006-0000-0300-00000B000000}">
      <text>
        <r>
          <rPr>
            <sz val="8"/>
            <color indexed="81"/>
            <rFont val="Tahoma"/>
            <family val="2"/>
          </rPr>
          <t xml:space="preserve">Minimum Height/Drop is 200mm.
Maximum Height/Drop is 3000mm. </t>
        </r>
      </text>
    </comment>
    <comment ref="H9" authorId="0" shapeId="0" xr:uid="{00000000-0006-0000-0300-00000C000000}">
      <text>
        <r>
          <rPr>
            <sz val="8"/>
            <color indexed="81"/>
            <rFont val="Tahoma"/>
            <family val="2"/>
          </rPr>
          <t>When selecting a
Corner or Bay 
Window Type, 
the CMB Corner WS or 
CMB Bay WS 
must be completed.</t>
        </r>
      </text>
    </comment>
    <comment ref="J9" authorId="0" shapeId="0" xr:uid="{00000000-0006-0000-0300-00000D000000}">
      <text>
        <r>
          <rPr>
            <sz val="8"/>
            <color indexed="81"/>
            <rFont val="Tahoma"/>
            <family val="2"/>
          </rPr>
          <t>ACT 
Actual Measurements
You have made the allowances.
NAM
No Allowances Made 
The factory will make the deductions.</t>
        </r>
      </text>
    </comment>
    <comment ref="O9" authorId="0" shapeId="0" xr:uid="{00000000-0006-0000-0300-00000E000000}">
      <text>
        <r>
          <rPr>
            <sz val="8"/>
            <color indexed="81"/>
            <rFont val="Tahoma"/>
            <family val="2"/>
          </rPr>
          <t>Standard is default.
Common Fascia is when the same Fascia used for two Blinds.</t>
        </r>
      </text>
    </comment>
    <comment ref="S9" authorId="0" shapeId="0" xr:uid="{00000000-0006-0000-0300-00000F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9" authorId="0" shapeId="0" xr:uid="{00000000-0006-0000-0300-000010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10" authorId="0" shapeId="0" xr:uid="{00000000-0006-0000-0300-000011000000}">
      <text>
        <r>
          <rPr>
            <sz val="8"/>
            <color indexed="81"/>
            <rFont val="Tahoma"/>
            <family val="2"/>
          </rPr>
          <t>Minimum Width is 222mm.
Maximum Width is 3000mm. 
All openings over 3000mm wide will require multiple Blinds.</t>
        </r>
      </text>
    </comment>
    <comment ref="G10" authorId="0" shapeId="0" xr:uid="{00000000-0006-0000-0300-000012000000}">
      <text>
        <r>
          <rPr>
            <sz val="8"/>
            <color indexed="81"/>
            <rFont val="Tahoma"/>
            <family val="2"/>
          </rPr>
          <t xml:space="preserve">Minimum Height/Drop is 200mm.
Maximum Height/Drop is 3000mm. </t>
        </r>
      </text>
    </comment>
    <comment ref="H10" authorId="0" shapeId="0" xr:uid="{00000000-0006-0000-0300-000013000000}">
      <text>
        <r>
          <rPr>
            <sz val="8"/>
            <color indexed="81"/>
            <rFont val="Tahoma"/>
            <family val="2"/>
          </rPr>
          <t>When selecting a
Corner or Bay 
Window Type, 
the CMB Corner WS or 
CMB Bay WS 
must be completed.</t>
        </r>
      </text>
    </comment>
    <comment ref="J10" authorId="0" shapeId="0" xr:uid="{00000000-0006-0000-0300-000014000000}">
      <text>
        <r>
          <rPr>
            <sz val="8"/>
            <color indexed="81"/>
            <rFont val="Tahoma"/>
            <family val="2"/>
          </rPr>
          <t>ACT 
Actual Measurements
You have made the allowances.
NAM
No Allowances Made 
The factory will make the deductions.</t>
        </r>
      </text>
    </comment>
    <comment ref="O10" authorId="0" shapeId="0" xr:uid="{00000000-0006-0000-0300-000015000000}">
      <text>
        <r>
          <rPr>
            <sz val="8"/>
            <color indexed="81"/>
            <rFont val="Tahoma"/>
            <family val="2"/>
          </rPr>
          <t>Standard is default.
Common Fascia is when the same Fascia used for two Blinds.</t>
        </r>
      </text>
    </comment>
    <comment ref="S10" authorId="0" shapeId="0" xr:uid="{00000000-0006-0000-0300-000016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10" authorId="0" shapeId="0" xr:uid="{00000000-0006-0000-0300-000017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11" authorId="0" shapeId="0" xr:uid="{00000000-0006-0000-0300-000018000000}">
      <text>
        <r>
          <rPr>
            <sz val="8"/>
            <color indexed="81"/>
            <rFont val="Tahoma"/>
            <family val="2"/>
          </rPr>
          <t>Minimum Width is 222mm.
Maximum Width is 3000mm. 
All openings over 3000mm wide will require multiple Blinds.</t>
        </r>
      </text>
    </comment>
    <comment ref="G11" authorId="0" shapeId="0" xr:uid="{00000000-0006-0000-0300-000019000000}">
      <text>
        <r>
          <rPr>
            <sz val="8"/>
            <color indexed="81"/>
            <rFont val="Tahoma"/>
            <family val="2"/>
          </rPr>
          <t xml:space="preserve">Minimum Height/Drop is 200mm.
Maximum Height/Drop is 3000mm. </t>
        </r>
      </text>
    </comment>
    <comment ref="H11" authorId="0" shapeId="0" xr:uid="{00000000-0006-0000-0300-00001A000000}">
      <text>
        <r>
          <rPr>
            <sz val="8"/>
            <color indexed="81"/>
            <rFont val="Tahoma"/>
            <family val="2"/>
          </rPr>
          <t>When selecting a
Corner or Bay 
Window Type, 
the CMB Corner WS or 
CMB Bay WS 
must be completed.</t>
        </r>
      </text>
    </comment>
    <comment ref="J11" authorId="0" shapeId="0" xr:uid="{00000000-0006-0000-0300-00001B000000}">
      <text>
        <r>
          <rPr>
            <sz val="8"/>
            <color indexed="81"/>
            <rFont val="Tahoma"/>
            <family val="2"/>
          </rPr>
          <t>ACT 
Actual Measurements
You have made the allowances.
NAM
No Allowances Made 
The factory will make the deductions.</t>
        </r>
      </text>
    </comment>
    <comment ref="O11" authorId="0" shapeId="0" xr:uid="{00000000-0006-0000-0300-00001C000000}">
      <text>
        <r>
          <rPr>
            <sz val="8"/>
            <color indexed="81"/>
            <rFont val="Tahoma"/>
            <family val="2"/>
          </rPr>
          <t>Standard is default.
Common Fascia is when the same Fascia used for two Blinds.</t>
        </r>
      </text>
    </comment>
    <comment ref="S11" authorId="0" shapeId="0" xr:uid="{00000000-0006-0000-0300-00001D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11" authorId="0" shapeId="0" xr:uid="{00000000-0006-0000-0300-00001E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12" authorId="0" shapeId="0" xr:uid="{00000000-0006-0000-0300-00001F000000}">
      <text>
        <r>
          <rPr>
            <sz val="8"/>
            <color indexed="81"/>
            <rFont val="Tahoma"/>
            <family val="2"/>
          </rPr>
          <t>Minimum Width is 222mm.
Maximum Width is 3000mm. 
All openings over 3000mm wide will require multiple Blinds.</t>
        </r>
      </text>
    </comment>
    <comment ref="G12" authorId="0" shapeId="0" xr:uid="{00000000-0006-0000-0300-000020000000}">
      <text>
        <r>
          <rPr>
            <sz val="8"/>
            <color indexed="81"/>
            <rFont val="Tahoma"/>
            <family val="2"/>
          </rPr>
          <t xml:space="preserve">Minimum Height/Drop is 200mm.
Maximum Height/Drop is 3000mm. </t>
        </r>
      </text>
    </comment>
    <comment ref="H12" authorId="0" shapeId="0" xr:uid="{00000000-0006-0000-0300-000021000000}">
      <text>
        <r>
          <rPr>
            <sz val="8"/>
            <color indexed="81"/>
            <rFont val="Tahoma"/>
            <family val="2"/>
          </rPr>
          <t>When selecting a
Corner or Bay 
Window Type, 
the CMB Corner WS or 
CMB Bay WS 
must be completed.</t>
        </r>
      </text>
    </comment>
    <comment ref="J12" authorId="0" shapeId="0" xr:uid="{00000000-0006-0000-0300-000022000000}">
      <text>
        <r>
          <rPr>
            <sz val="8"/>
            <color indexed="81"/>
            <rFont val="Tahoma"/>
            <family val="2"/>
          </rPr>
          <t>ACT 
Actual Measurements
You have made the allowances.
NAM
No Allowances Made 
The factory will make the deductions.</t>
        </r>
      </text>
    </comment>
    <comment ref="O12" authorId="0" shapeId="0" xr:uid="{00000000-0006-0000-0300-000023000000}">
      <text>
        <r>
          <rPr>
            <sz val="8"/>
            <color indexed="81"/>
            <rFont val="Tahoma"/>
            <family val="2"/>
          </rPr>
          <t>Standard is default.
Common Fascia is when the same Fascia used for two Blinds.</t>
        </r>
      </text>
    </comment>
    <comment ref="S12" authorId="0" shapeId="0" xr:uid="{00000000-0006-0000-0300-000024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12" authorId="0" shapeId="0" xr:uid="{00000000-0006-0000-0300-000025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13" authorId="0" shapeId="0" xr:uid="{00000000-0006-0000-0300-000026000000}">
      <text>
        <r>
          <rPr>
            <sz val="8"/>
            <color indexed="81"/>
            <rFont val="Tahoma"/>
            <family val="2"/>
          </rPr>
          <t>Minimum Width is 222mm.
Maximum Width is 3000mm. 
All openings over 3000mm wide will require multiple Blinds.</t>
        </r>
      </text>
    </comment>
    <comment ref="G13" authorId="0" shapeId="0" xr:uid="{00000000-0006-0000-0300-000027000000}">
      <text>
        <r>
          <rPr>
            <sz val="8"/>
            <color indexed="81"/>
            <rFont val="Tahoma"/>
            <family val="2"/>
          </rPr>
          <t xml:space="preserve">Minimum Height/Drop is 200mm.
Maximum Height/Drop is 3000mm. </t>
        </r>
      </text>
    </comment>
    <comment ref="H13" authorId="0" shapeId="0" xr:uid="{00000000-0006-0000-0300-000028000000}">
      <text>
        <r>
          <rPr>
            <sz val="8"/>
            <color indexed="81"/>
            <rFont val="Tahoma"/>
            <family val="2"/>
          </rPr>
          <t>When selecting a
Corner or Bay 
Window Type, 
the CMB Corner WS or 
CMB Bay WS 
must be completed.</t>
        </r>
      </text>
    </comment>
    <comment ref="J13" authorId="0" shapeId="0" xr:uid="{00000000-0006-0000-0300-000029000000}">
      <text>
        <r>
          <rPr>
            <sz val="8"/>
            <color indexed="81"/>
            <rFont val="Tahoma"/>
            <family val="2"/>
          </rPr>
          <t>ACT 
Actual Measurements
You have made the allowances.
NAM
No Allowances Made 
The factory will make the deductions.</t>
        </r>
      </text>
    </comment>
    <comment ref="O13" authorId="0" shapeId="0" xr:uid="{00000000-0006-0000-0300-00002A000000}">
      <text>
        <r>
          <rPr>
            <sz val="8"/>
            <color indexed="81"/>
            <rFont val="Tahoma"/>
            <family val="2"/>
          </rPr>
          <t>Standard is default.
Common Fascia is when the same Fascia used for two Blinds.</t>
        </r>
      </text>
    </comment>
    <comment ref="S13" authorId="0" shapeId="0" xr:uid="{00000000-0006-0000-0300-00002B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13" authorId="0" shapeId="0" xr:uid="{00000000-0006-0000-0300-00002C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14" authorId="0" shapeId="0" xr:uid="{00000000-0006-0000-0300-00002D000000}">
      <text>
        <r>
          <rPr>
            <sz val="8"/>
            <color indexed="81"/>
            <rFont val="Tahoma"/>
            <family val="2"/>
          </rPr>
          <t>Minimum Width is 222mm.
Maximum Width is 3000mm. 
All openings over 3000mm wide will require multiple Blinds.</t>
        </r>
      </text>
    </comment>
    <comment ref="G14" authorId="0" shapeId="0" xr:uid="{00000000-0006-0000-0300-00002E000000}">
      <text>
        <r>
          <rPr>
            <sz val="8"/>
            <color indexed="81"/>
            <rFont val="Tahoma"/>
            <family val="2"/>
          </rPr>
          <t xml:space="preserve">Minimum Height/Drop is 200mm.
Maximum Height/Drop is 3000mm. </t>
        </r>
      </text>
    </comment>
    <comment ref="H14" authorId="0" shapeId="0" xr:uid="{00000000-0006-0000-0300-00002F000000}">
      <text>
        <r>
          <rPr>
            <sz val="8"/>
            <color indexed="81"/>
            <rFont val="Tahoma"/>
            <family val="2"/>
          </rPr>
          <t>When selecting a
Corner or Bay 
Window Type, 
the CMB Corner WS or 
CMB Bay WS 
must be completed.</t>
        </r>
      </text>
    </comment>
    <comment ref="J14" authorId="0" shapeId="0" xr:uid="{00000000-0006-0000-0300-000030000000}">
      <text>
        <r>
          <rPr>
            <sz val="8"/>
            <color indexed="81"/>
            <rFont val="Tahoma"/>
            <family val="2"/>
          </rPr>
          <t>ACT 
Actual Measurements
You have made the allowances.
NAM
No Allowances Made 
The factory will make the deductions.</t>
        </r>
      </text>
    </comment>
    <comment ref="O14" authorId="0" shapeId="0" xr:uid="{00000000-0006-0000-0300-000031000000}">
      <text>
        <r>
          <rPr>
            <sz val="8"/>
            <color indexed="81"/>
            <rFont val="Tahoma"/>
            <family val="2"/>
          </rPr>
          <t>Standard is default.
Common Fascia is when the same Fascia used for two Blinds.</t>
        </r>
      </text>
    </comment>
    <comment ref="S14" authorId="0" shapeId="0" xr:uid="{00000000-0006-0000-0300-000032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14" authorId="0" shapeId="0" xr:uid="{00000000-0006-0000-0300-000033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15" authorId="0" shapeId="0" xr:uid="{00000000-0006-0000-0300-000034000000}">
      <text>
        <r>
          <rPr>
            <sz val="8"/>
            <color indexed="81"/>
            <rFont val="Tahoma"/>
            <family val="2"/>
          </rPr>
          <t>Minimum Width is 222mm.
Maximum Width is 3000mm. 
All openings over 3000mm wide will require multiple Blinds.</t>
        </r>
      </text>
    </comment>
    <comment ref="G15" authorId="0" shapeId="0" xr:uid="{00000000-0006-0000-0300-000035000000}">
      <text>
        <r>
          <rPr>
            <sz val="8"/>
            <color indexed="81"/>
            <rFont val="Tahoma"/>
            <family val="2"/>
          </rPr>
          <t xml:space="preserve">Minimum Height/Drop is 200mm.
Maximum Height/Drop is 3000mm. </t>
        </r>
      </text>
    </comment>
    <comment ref="H15" authorId="0" shapeId="0" xr:uid="{00000000-0006-0000-0300-000036000000}">
      <text>
        <r>
          <rPr>
            <sz val="8"/>
            <color indexed="81"/>
            <rFont val="Tahoma"/>
            <family val="2"/>
          </rPr>
          <t>When selecting a
Corner or Bay 
Window Type, 
the CMB Corner WS or 
CMB Bay WS 
must be completed.</t>
        </r>
      </text>
    </comment>
    <comment ref="J15" authorId="0" shapeId="0" xr:uid="{00000000-0006-0000-0300-000037000000}">
      <text>
        <r>
          <rPr>
            <sz val="8"/>
            <color indexed="81"/>
            <rFont val="Tahoma"/>
            <family val="2"/>
          </rPr>
          <t>ACT 
Actual Measurements
You have made the allowances.
NAM
No Allowances Made 
The factory will make the deductions.</t>
        </r>
      </text>
    </comment>
    <comment ref="O15" authorId="0" shapeId="0" xr:uid="{00000000-0006-0000-0300-000038000000}">
      <text>
        <r>
          <rPr>
            <sz val="8"/>
            <color indexed="81"/>
            <rFont val="Tahoma"/>
            <family val="2"/>
          </rPr>
          <t>Standard is default.
Common Fascia is when the same Fascia used for two Blinds.</t>
        </r>
      </text>
    </comment>
    <comment ref="S15" authorId="0" shapeId="0" xr:uid="{00000000-0006-0000-0300-000039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15" authorId="0" shapeId="0" xr:uid="{00000000-0006-0000-0300-00003A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16" authorId="0" shapeId="0" xr:uid="{00000000-0006-0000-0300-00003B000000}">
      <text>
        <r>
          <rPr>
            <sz val="8"/>
            <color indexed="81"/>
            <rFont val="Tahoma"/>
            <family val="2"/>
          </rPr>
          <t>Minimum Width is 222mm.
Maximum Width is 3000mm. 
All openings over 3000mm wide will require multiple Blinds.</t>
        </r>
      </text>
    </comment>
    <comment ref="G16" authorId="0" shapeId="0" xr:uid="{00000000-0006-0000-0300-00003C000000}">
      <text>
        <r>
          <rPr>
            <sz val="8"/>
            <color indexed="81"/>
            <rFont val="Tahoma"/>
            <family val="2"/>
          </rPr>
          <t xml:space="preserve">Minimum Height/Drop is 200mm.
Maximum Height/Drop is 3000mm. </t>
        </r>
      </text>
    </comment>
    <comment ref="H16" authorId="0" shapeId="0" xr:uid="{00000000-0006-0000-0300-00003D000000}">
      <text>
        <r>
          <rPr>
            <sz val="8"/>
            <color indexed="81"/>
            <rFont val="Tahoma"/>
            <family val="2"/>
          </rPr>
          <t>When selecting a
Corner or Bay 
Window Type, 
the CMB Corner WS or 
CMB Bay WS 
must be completed.</t>
        </r>
      </text>
    </comment>
    <comment ref="J16" authorId="0" shapeId="0" xr:uid="{00000000-0006-0000-0300-00003E000000}">
      <text>
        <r>
          <rPr>
            <sz val="8"/>
            <color indexed="81"/>
            <rFont val="Tahoma"/>
            <family val="2"/>
          </rPr>
          <t>ACT 
Actual Measurements
You have made the allowances.
NAM
No Allowances Made 
The factory will make the deductions.</t>
        </r>
      </text>
    </comment>
    <comment ref="O16" authorId="0" shapeId="0" xr:uid="{00000000-0006-0000-0300-00003F000000}">
      <text>
        <r>
          <rPr>
            <sz val="8"/>
            <color indexed="81"/>
            <rFont val="Tahoma"/>
            <family val="2"/>
          </rPr>
          <t>Standard is default.
Common Fascia is when the same Fascia used for two Blinds.</t>
        </r>
      </text>
    </comment>
    <comment ref="S16" authorId="0" shapeId="0" xr:uid="{00000000-0006-0000-0300-000040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16" authorId="0" shapeId="0" xr:uid="{00000000-0006-0000-0300-000041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17" authorId="0" shapeId="0" xr:uid="{00000000-0006-0000-0300-000042000000}">
      <text>
        <r>
          <rPr>
            <sz val="8"/>
            <color indexed="81"/>
            <rFont val="Tahoma"/>
            <family val="2"/>
          </rPr>
          <t>Minimum Width is 222mm.
Maximum Width is 3000mm. 
All openings over 3000mm wide will require multiple Blinds.</t>
        </r>
      </text>
    </comment>
    <comment ref="G17" authorId="0" shapeId="0" xr:uid="{00000000-0006-0000-0300-000043000000}">
      <text>
        <r>
          <rPr>
            <sz val="8"/>
            <color indexed="81"/>
            <rFont val="Tahoma"/>
            <family val="2"/>
          </rPr>
          <t xml:space="preserve">Minimum Height/Drop is 200mm.
Maximum Height/Drop is 3000mm. </t>
        </r>
      </text>
    </comment>
    <comment ref="H17" authorId="0" shapeId="0" xr:uid="{00000000-0006-0000-0300-000044000000}">
      <text>
        <r>
          <rPr>
            <sz val="8"/>
            <color indexed="81"/>
            <rFont val="Tahoma"/>
            <family val="2"/>
          </rPr>
          <t>When selecting a
Corner or Bay 
Window Type, 
the CMB Corner WS or 
CMB Bay WS 
must be completed.</t>
        </r>
      </text>
    </comment>
    <comment ref="J17" authorId="0" shapeId="0" xr:uid="{00000000-0006-0000-0300-000045000000}">
      <text>
        <r>
          <rPr>
            <sz val="8"/>
            <color indexed="81"/>
            <rFont val="Tahoma"/>
            <family val="2"/>
          </rPr>
          <t>ACT 
Actual Measurements
You have made the allowances.
NAM
No Allowances Made 
The factory will make the deductions.</t>
        </r>
      </text>
    </comment>
    <comment ref="O17" authorId="0" shapeId="0" xr:uid="{00000000-0006-0000-0300-000046000000}">
      <text>
        <r>
          <rPr>
            <sz val="8"/>
            <color indexed="81"/>
            <rFont val="Tahoma"/>
            <family val="2"/>
          </rPr>
          <t>Standard is default.
Common Fascia is when the same Fascia used for two Blinds.</t>
        </r>
      </text>
    </comment>
    <comment ref="S17" authorId="0" shapeId="0" xr:uid="{00000000-0006-0000-0300-000047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17" authorId="0" shapeId="0" xr:uid="{00000000-0006-0000-0300-000048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18" authorId="0" shapeId="0" xr:uid="{00000000-0006-0000-0300-000049000000}">
      <text>
        <r>
          <rPr>
            <sz val="8"/>
            <color indexed="81"/>
            <rFont val="Tahoma"/>
            <family val="2"/>
          </rPr>
          <t>Minimum Width is 222mm.
Maximum Width is 3000mm. 
All openings over 3000mm wide will require multiple Blinds.</t>
        </r>
      </text>
    </comment>
    <comment ref="G18" authorId="0" shapeId="0" xr:uid="{00000000-0006-0000-0300-00004A000000}">
      <text>
        <r>
          <rPr>
            <sz val="8"/>
            <color indexed="81"/>
            <rFont val="Tahoma"/>
            <family val="2"/>
          </rPr>
          <t xml:space="preserve">Minimum Height/Drop is 200mm.
Maximum Height/Drop is 3000mm. </t>
        </r>
      </text>
    </comment>
    <comment ref="H18" authorId="0" shapeId="0" xr:uid="{00000000-0006-0000-0300-00004B000000}">
      <text>
        <r>
          <rPr>
            <sz val="8"/>
            <color indexed="81"/>
            <rFont val="Tahoma"/>
            <family val="2"/>
          </rPr>
          <t>When selecting a
Corner or Bay 
Window Type, 
the CMB Corner WS or 
CMB Bay WS 
must be completed.</t>
        </r>
      </text>
    </comment>
    <comment ref="J18" authorId="0" shapeId="0" xr:uid="{00000000-0006-0000-0300-00004C000000}">
      <text>
        <r>
          <rPr>
            <sz val="8"/>
            <color indexed="81"/>
            <rFont val="Tahoma"/>
            <family val="2"/>
          </rPr>
          <t>ACT 
Actual Measurements
You have made the allowances.
NAM
No Allowances Made 
The factory will make the deductions.</t>
        </r>
      </text>
    </comment>
    <comment ref="O18" authorId="0" shapeId="0" xr:uid="{00000000-0006-0000-0300-00004D000000}">
      <text>
        <r>
          <rPr>
            <sz val="8"/>
            <color indexed="81"/>
            <rFont val="Tahoma"/>
            <family val="2"/>
          </rPr>
          <t>Standard is default.
Common Fascia is when the same Fascia used for two Blinds.</t>
        </r>
      </text>
    </comment>
    <comment ref="S18" authorId="0" shapeId="0" xr:uid="{00000000-0006-0000-0300-00004E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18" authorId="0" shapeId="0" xr:uid="{00000000-0006-0000-0300-00004F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19" authorId="0" shapeId="0" xr:uid="{00000000-0006-0000-0300-000050000000}">
      <text>
        <r>
          <rPr>
            <sz val="8"/>
            <color indexed="81"/>
            <rFont val="Tahoma"/>
            <family val="2"/>
          </rPr>
          <t>Minimum Width is 222mm.
Maximum Width is 3000mm. 
All openings over 3000mm wide will require multiple Blinds.</t>
        </r>
      </text>
    </comment>
    <comment ref="G19" authorId="0" shapeId="0" xr:uid="{00000000-0006-0000-0300-000051000000}">
      <text>
        <r>
          <rPr>
            <sz val="8"/>
            <color indexed="81"/>
            <rFont val="Tahoma"/>
            <family val="2"/>
          </rPr>
          <t xml:space="preserve">Minimum Height/Drop is 200mm.
Maximum Height/Drop is 3000mm. </t>
        </r>
      </text>
    </comment>
    <comment ref="H19" authorId="0" shapeId="0" xr:uid="{00000000-0006-0000-0300-000052000000}">
      <text>
        <r>
          <rPr>
            <sz val="8"/>
            <color indexed="81"/>
            <rFont val="Tahoma"/>
            <family val="2"/>
          </rPr>
          <t>When selecting a
Corner or Bay 
Window Type, 
the CMB Corner WS or 
CMB Bay WS 
must be completed.</t>
        </r>
      </text>
    </comment>
    <comment ref="J19" authorId="0" shapeId="0" xr:uid="{00000000-0006-0000-0300-000053000000}">
      <text>
        <r>
          <rPr>
            <sz val="8"/>
            <color indexed="81"/>
            <rFont val="Tahoma"/>
            <family val="2"/>
          </rPr>
          <t>ACT 
Actual Measurements
You have made the allowances.
NAM
No Allowances Made 
The factory will make the deductions.</t>
        </r>
      </text>
    </comment>
    <comment ref="O19" authorId="0" shapeId="0" xr:uid="{00000000-0006-0000-0300-000054000000}">
      <text>
        <r>
          <rPr>
            <sz val="8"/>
            <color indexed="81"/>
            <rFont val="Tahoma"/>
            <family val="2"/>
          </rPr>
          <t>Standard is default.
Common Fascia is when the same Fascia used for two Blinds.</t>
        </r>
      </text>
    </comment>
    <comment ref="S19" authorId="0" shapeId="0" xr:uid="{00000000-0006-0000-0300-000055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19" authorId="0" shapeId="0" xr:uid="{00000000-0006-0000-0300-000056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20" authorId="0" shapeId="0" xr:uid="{00000000-0006-0000-0300-000057000000}">
      <text>
        <r>
          <rPr>
            <sz val="8"/>
            <color indexed="81"/>
            <rFont val="Tahoma"/>
            <family val="2"/>
          </rPr>
          <t>Minimum Width is 222mm.
Maximum Width is 3000mm. 
All openings over 3000mm wide will require multiple Blinds.</t>
        </r>
      </text>
    </comment>
    <comment ref="G20" authorId="0" shapeId="0" xr:uid="{00000000-0006-0000-0300-000058000000}">
      <text>
        <r>
          <rPr>
            <sz val="8"/>
            <color indexed="81"/>
            <rFont val="Tahoma"/>
            <family val="2"/>
          </rPr>
          <t xml:space="preserve">Minimum Height/Drop is 200mm.
Maximum Height/Drop is 3000mm. </t>
        </r>
      </text>
    </comment>
    <comment ref="H20" authorId="0" shapeId="0" xr:uid="{00000000-0006-0000-0300-000059000000}">
      <text>
        <r>
          <rPr>
            <sz val="8"/>
            <color indexed="81"/>
            <rFont val="Tahoma"/>
            <family val="2"/>
          </rPr>
          <t>When selecting a
Corner or Bay 
Window Type, 
the CMB Corner WS or 
CMB Bay WS 
must be completed.</t>
        </r>
      </text>
    </comment>
    <comment ref="J20" authorId="0" shapeId="0" xr:uid="{00000000-0006-0000-0300-00005A000000}">
      <text>
        <r>
          <rPr>
            <sz val="8"/>
            <color indexed="81"/>
            <rFont val="Tahoma"/>
            <family val="2"/>
          </rPr>
          <t>ACT 
Actual Measurements
You have made the allowances.
NAM
No Allowances Made 
The factory will make the deductions.</t>
        </r>
      </text>
    </comment>
    <comment ref="O20" authorId="0" shapeId="0" xr:uid="{00000000-0006-0000-0300-00005B000000}">
      <text>
        <r>
          <rPr>
            <sz val="8"/>
            <color indexed="81"/>
            <rFont val="Tahoma"/>
            <family val="2"/>
          </rPr>
          <t>Standard is default.
Common Fascia is when the same Fascia used for two Blinds.</t>
        </r>
      </text>
    </comment>
    <comment ref="S20" authorId="0" shapeId="0" xr:uid="{00000000-0006-0000-0300-00005C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20" authorId="0" shapeId="0" xr:uid="{00000000-0006-0000-0300-00005D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21" authorId="0" shapeId="0" xr:uid="{00000000-0006-0000-0300-00005E000000}">
      <text>
        <r>
          <rPr>
            <sz val="8"/>
            <color indexed="81"/>
            <rFont val="Tahoma"/>
            <family val="2"/>
          </rPr>
          <t>Minimum Width is 222mm.
Maximum Width is 3000mm. 
All openings over 3000mm wide will require multiple Blinds.</t>
        </r>
      </text>
    </comment>
    <comment ref="G21" authorId="0" shapeId="0" xr:uid="{00000000-0006-0000-0300-00005F000000}">
      <text>
        <r>
          <rPr>
            <sz val="8"/>
            <color indexed="81"/>
            <rFont val="Tahoma"/>
            <family val="2"/>
          </rPr>
          <t xml:space="preserve">Minimum Height/Drop is 200mm.
Maximum Height/Drop is 3000mm. </t>
        </r>
      </text>
    </comment>
    <comment ref="H21" authorId="0" shapeId="0" xr:uid="{00000000-0006-0000-0300-000060000000}">
      <text>
        <r>
          <rPr>
            <sz val="8"/>
            <color indexed="81"/>
            <rFont val="Tahoma"/>
            <family val="2"/>
          </rPr>
          <t>When selecting a
Corner or Bay 
Window Type, 
the CMB Corner WS or 
CMB Bay WS 
must be completed.</t>
        </r>
      </text>
    </comment>
    <comment ref="J21" authorId="0" shapeId="0" xr:uid="{00000000-0006-0000-0300-000061000000}">
      <text>
        <r>
          <rPr>
            <sz val="8"/>
            <color indexed="81"/>
            <rFont val="Tahoma"/>
            <family val="2"/>
          </rPr>
          <t>ACT 
Actual Measurements
You have made the allowances.
NAM
No Allowances Made 
The factory will make the deductions.</t>
        </r>
      </text>
    </comment>
    <comment ref="O21" authorId="0" shapeId="0" xr:uid="{00000000-0006-0000-0300-000062000000}">
      <text>
        <r>
          <rPr>
            <sz val="8"/>
            <color indexed="81"/>
            <rFont val="Tahoma"/>
            <family val="2"/>
          </rPr>
          <t>Standard is default.
Common Fascia is when the same Fascia used for two Blinds.</t>
        </r>
      </text>
    </comment>
    <comment ref="S21" authorId="0" shapeId="0" xr:uid="{00000000-0006-0000-0300-000063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21" authorId="0" shapeId="0" xr:uid="{00000000-0006-0000-0300-000064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22" authorId="0" shapeId="0" xr:uid="{00000000-0006-0000-0300-000065000000}">
      <text>
        <r>
          <rPr>
            <sz val="8"/>
            <color indexed="81"/>
            <rFont val="Tahoma"/>
            <family val="2"/>
          </rPr>
          <t>Minimum Width is 222mm.
Maximum Width is 3000mm. 
All openings over 3000mm wide will require multiple Blinds.</t>
        </r>
      </text>
    </comment>
    <comment ref="G22" authorId="0" shapeId="0" xr:uid="{00000000-0006-0000-0300-000066000000}">
      <text>
        <r>
          <rPr>
            <sz val="8"/>
            <color indexed="81"/>
            <rFont val="Tahoma"/>
            <family val="2"/>
          </rPr>
          <t xml:space="preserve">Minimum Height/Drop is 200mm.
Maximum Height/Drop is 3000mm. </t>
        </r>
      </text>
    </comment>
    <comment ref="H22" authorId="0" shapeId="0" xr:uid="{00000000-0006-0000-0300-000067000000}">
      <text>
        <r>
          <rPr>
            <sz val="8"/>
            <color indexed="81"/>
            <rFont val="Tahoma"/>
            <family val="2"/>
          </rPr>
          <t>When selecting a
Corner or Bay 
Window Type, 
the CMB Corner WS or 
CMB Bay WS 
must be completed.</t>
        </r>
      </text>
    </comment>
    <comment ref="J22" authorId="0" shapeId="0" xr:uid="{00000000-0006-0000-0300-000068000000}">
      <text>
        <r>
          <rPr>
            <sz val="8"/>
            <color indexed="81"/>
            <rFont val="Tahoma"/>
            <family val="2"/>
          </rPr>
          <t>ACT 
Actual Measurements
You have made the allowances.
NAM
No Allowances Made 
The factory will make the deductions.</t>
        </r>
      </text>
    </comment>
    <comment ref="O22" authorId="0" shapeId="0" xr:uid="{00000000-0006-0000-0300-000069000000}">
      <text>
        <r>
          <rPr>
            <sz val="8"/>
            <color indexed="81"/>
            <rFont val="Tahoma"/>
            <family val="2"/>
          </rPr>
          <t>Standard is default.
Common Fascia is when the same Fascia used for two Blinds.</t>
        </r>
      </text>
    </comment>
    <comment ref="S22" authorId="0" shapeId="0" xr:uid="{00000000-0006-0000-0300-00006A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22" authorId="0" shapeId="0" xr:uid="{00000000-0006-0000-0300-00006B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23" authorId="0" shapeId="0" xr:uid="{00000000-0006-0000-0300-00006C000000}">
      <text>
        <r>
          <rPr>
            <sz val="8"/>
            <color indexed="81"/>
            <rFont val="Tahoma"/>
            <family val="2"/>
          </rPr>
          <t>Minimum Width is 222mm.
Maximum Width is 3000mm. 
All openings over 3000mm wide will require multiple Blinds.</t>
        </r>
      </text>
    </comment>
    <comment ref="G23" authorId="0" shapeId="0" xr:uid="{00000000-0006-0000-0300-00006D000000}">
      <text>
        <r>
          <rPr>
            <sz val="8"/>
            <color indexed="81"/>
            <rFont val="Tahoma"/>
            <family val="2"/>
          </rPr>
          <t xml:space="preserve">Minimum Height/Drop is 200mm.
Maximum Height/Drop is 3000mm. </t>
        </r>
      </text>
    </comment>
    <comment ref="H23" authorId="0" shapeId="0" xr:uid="{00000000-0006-0000-0300-00006E000000}">
      <text>
        <r>
          <rPr>
            <sz val="8"/>
            <color indexed="81"/>
            <rFont val="Tahoma"/>
            <family val="2"/>
          </rPr>
          <t>When selecting a
Corner or Bay 
Window Type, 
the CMB Corner WS or 
CMB Bay WS 
must be completed.</t>
        </r>
      </text>
    </comment>
    <comment ref="J23" authorId="0" shapeId="0" xr:uid="{00000000-0006-0000-0300-00006F000000}">
      <text>
        <r>
          <rPr>
            <sz val="8"/>
            <color indexed="81"/>
            <rFont val="Tahoma"/>
            <family val="2"/>
          </rPr>
          <t>ACT 
Actual Measurements
You have made the allowances.
NAM
No Allowances Made 
The factory will make the deductions.</t>
        </r>
      </text>
    </comment>
    <comment ref="O23" authorId="0" shapeId="0" xr:uid="{00000000-0006-0000-0300-000070000000}">
      <text>
        <r>
          <rPr>
            <sz val="8"/>
            <color indexed="81"/>
            <rFont val="Tahoma"/>
            <family val="2"/>
          </rPr>
          <t>Standard is default.
Common Fascia is when the same Fascia used for two Blinds.</t>
        </r>
      </text>
    </comment>
    <comment ref="S23" authorId="0" shapeId="0" xr:uid="{00000000-0006-0000-0300-000071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23" authorId="0" shapeId="0" xr:uid="{00000000-0006-0000-0300-000072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24" authorId="0" shapeId="0" xr:uid="{00000000-0006-0000-0300-000073000000}">
      <text>
        <r>
          <rPr>
            <sz val="8"/>
            <color indexed="81"/>
            <rFont val="Tahoma"/>
            <family val="2"/>
          </rPr>
          <t>Minimum Width is 222mm.
Maximum Width is 3000mm. 
All openings over 3000mm wide will require multiple Blinds.</t>
        </r>
      </text>
    </comment>
    <comment ref="G24" authorId="0" shapeId="0" xr:uid="{00000000-0006-0000-0300-000074000000}">
      <text>
        <r>
          <rPr>
            <sz val="8"/>
            <color indexed="81"/>
            <rFont val="Tahoma"/>
            <family val="2"/>
          </rPr>
          <t xml:space="preserve">Minimum Height/Drop is 200mm.
Maximum Height/Drop is 3000mm. </t>
        </r>
      </text>
    </comment>
    <comment ref="H24" authorId="0" shapeId="0" xr:uid="{00000000-0006-0000-0300-000075000000}">
      <text>
        <r>
          <rPr>
            <sz val="8"/>
            <color indexed="81"/>
            <rFont val="Tahoma"/>
            <family val="2"/>
          </rPr>
          <t>When selecting a
Corner or Bay 
Window Type, 
the CMB Corner WS or 
CMB Bay WS 
must be completed.</t>
        </r>
      </text>
    </comment>
    <comment ref="J24" authorId="0" shapeId="0" xr:uid="{00000000-0006-0000-0300-000076000000}">
      <text>
        <r>
          <rPr>
            <sz val="8"/>
            <color indexed="81"/>
            <rFont val="Tahoma"/>
            <family val="2"/>
          </rPr>
          <t>ACT 
Actual Measurements
You have made the allowances.
NAM
No Allowances Made 
The factory will make the deductions.</t>
        </r>
      </text>
    </comment>
    <comment ref="O24" authorId="0" shapeId="0" xr:uid="{00000000-0006-0000-0300-000077000000}">
      <text>
        <r>
          <rPr>
            <sz val="8"/>
            <color indexed="81"/>
            <rFont val="Tahoma"/>
            <family val="2"/>
          </rPr>
          <t>Standard is default.
Common Fascia is when the same Fascia used for two Blinds.</t>
        </r>
      </text>
    </comment>
    <comment ref="S24" authorId="0" shapeId="0" xr:uid="{00000000-0006-0000-0300-000078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24" authorId="0" shapeId="0" xr:uid="{00000000-0006-0000-0300-000079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25" authorId="0" shapeId="0" xr:uid="{00000000-0006-0000-0300-00007A000000}">
      <text>
        <r>
          <rPr>
            <sz val="8"/>
            <color indexed="81"/>
            <rFont val="Tahoma"/>
            <family val="2"/>
          </rPr>
          <t>Minimum Width is 222mm.
Maximum Width is 3000mm. 
All openings over 3000mm wide will require multiple Blinds.</t>
        </r>
      </text>
    </comment>
    <comment ref="G25" authorId="0" shapeId="0" xr:uid="{00000000-0006-0000-0300-00007B000000}">
      <text>
        <r>
          <rPr>
            <sz val="8"/>
            <color indexed="81"/>
            <rFont val="Tahoma"/>
            <family val="2"/>
          </rPr>
          <t xml:space="preserve">Minimum Height/Drop is 200mm.
Maximum Height/Drop is 3000mm. </t>
        </r>
      </text>
    </comment>
    <comment ref="H25" authorId="0" shapeId="0" xr:uid="{00000000-0006-0000-0300-00007C000000}">
      <text>
        <r>
          <rPr>
            <sz val="8"/>
            <color indexed="81"/>
            <rFont val="Tahoma"/>
            <family val="2"/>
          </rPr>
          <t>When selecting a
Corner or Bay 
Window Type, 
the CMB Corner WS or 
CMB Bay WS 
must be completed.</t>
        </r>
      </text>
    </comment>
    <comment ref="J25" authorId="0" shapeId="0" xr:uid="{00000000-0006-0000-0300-00007D000000}">
      <text>
        <r>
          <rPr>
            <sz val="8"/>
            <color indexed="81"/>
            <rFont val="Tahoma"/>
            <family val="2"/>
          </rPr>
          <t>ACT 
Actual Measurements
You have made the allowances.
NAM
No Allowances Made 
The factory will make the deductions.</t>
        </r>
      </text>
    </comment>
    <comment ref="O25" authorId="0" shapeId="0" xr:uid="{00000000-0006-0000-0300-00007E000000}">
      <text>
        <r>
          <rPr>
            <sz val="8"/>
            <color indexed="81"/>
            <rFont val="Tahoma"/>
            <family val="2"/>
          </rPr>
          <t>Standard is default.
Common Fascia is when the same Fascia used for two Blinds.</t>
        </r>
      </text>
    </comment>
    <comment ref="S25" authorId="0" shapeId="0" xr:uid="{00000000-0006-0000-0300-00007F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25" authorId="0" shapeId="0" xr:uid="{00000000-0006-0000-0300-000080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26" authorId="0" shapeId="0" xr:uid="{00000000-0006-0000-0300-000081000000}">
      <text>
        <r>
          <rPr>
            <sz val="8"/>
            <color indexed="81"/>
            <rFont val="Tahoma"/>
            <family val="2"/>
          </rPr>
          <t>Minimum Width is 222mm.
Maximum Width is 3000mm. 
All openings over 3000mm wide will require multiple Blinds.</t>
        </r>
      </text>
    </comment>
    <comment ref="G26" authorId="0" shapeId="0" xr:uid="{00000000-0006-0000-0300-000082000000}">
      <text>
        <r>
          <rPr>
            <sz val="8"/>
            <color indexed="81"/>
            <rFont val="Tahoma"/>
            <family val="2"/>
          </rPr>
          <t xml:space="preserve">Minimum Height/Drop is 200mm.
Maximum Height/Drop is 3000mm. </t>
        </r>
      </text>
    </comment>
    <comment ref="H26" authorId="0" shapeId="0" xr:uid="{00000000-0006-0000-0300-000083000000}">
      <text>
        <r>
          <rPr>
            <sz val="8"/>
            <color indexed="81"/>
            <rFont val="Tahoma"/>
            <family val="2"/>
          </rPr>
          <t>When selecting a
Corner or Bay 
Window Type, 
the CMB Corner WS or 
CMB Bay WS 
must be completed.</t>
        </r>
      </text>
    </comment>
    <comment ref="J26" authorId="0" shapeId="0" xr:uid="{00000000-0006-0000-0300-000084000000}">
      <text>
        <r>
          <rPr>
            <sz val="8"/>
            <color indexed="81"/>
            <rFont val="Tahoma"/>
            <family val="2"/>
          </rPr>
          <t>ACT 
Actual Measurements
You have made the allowances.
NAM
No Allowances Made 
The factory will make the deductions.</t>
        </r>
      </text>
    </comment>
    <comment ref="O26" authorId="0" shapeId="0" xr:uid="{00000000-0006-0000-0300-000085000000}">
      <text>
        <r>
          <rPr>
            <sz val="8"/>
            <color indexed="81"/>
            <rFont val="Tahoma"/>
            <family val="2"/>
          </rPr>
          <t>Standard is default.
Common Fascia is when the same Fascia used for two Blinds.</t>
        </r>
      </text>
    </comment>
    <comment ref="S26" authorId="0" shapeId="0" xr:uid="{00000000-0006-0000-0300-000086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26" authorId="0" shapeId="0" xr:uid="{00000000-0006-0000-0300-000087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27" authorId="0" shapeId="0" xr:uid="{00000000-0006-0000-0300-000088000000}">
      <text>
        <r>
          <rPr>
            <sz val="8"/>
            <color indexed="81"/>
            <rFont val="Tahoma"/>
            <family val="2"/>
          </rPr>
          <t>Minimum Width is 222mm.
Maximum Width is 3000mm. 
All openings over 3000mm wide will require multiple Blinds.</t>
        </r>
      </text>
    </comment>
    <comment ref="G27" authorId="0" shapeId="0" xr:uid="{00000000-0006-0000-0300-000089000000}">
      <text>
        <r>
          <rPr>
            <sz val="8"/>
            <color indexed="81"/>
            <rFont val="Tahoma"/>
            <family val="2"/>
          </rPr>
          <t xml:space="preserve">Minimum Height/Drop is 200mm.
Maximum Height/Drop is 3000mm. </t>
        </r>
      </text>
    </comment>
    <comment ref="H27" authorId="0" shapeId="0" xr:uid="{00000000-0006-0000-0300-00008A000000}">
      <text>
        <r>
          <rPr>
            <sz val="8"/>
            <color indexed="81"/>
            <rFont val="Tahoma"/>
            <family val="2"/>
          </rPr>
          <t>When selecting a
Corner or Bay 
Window Type, 
the CMB Corner WS or 
CMB Bay WS 
must be completed.</t>
        </r>
      </text>
    </comment>
    <comment ref="J27" authorId="0" shapeId="0" xr:uid="{00000000-0006-0000-0300-00008B000000}">
      <text>
        <r>
          <rPr>
            <sz val="8"/>
            <color indexed="81"/>
            <rFont val="Tahoma"/>
            <family val="2"/>
          </rPr>
          <t>ACT 
Actual Measurements
You have made the allowances.
NAM
No Allowances Made 
The factory will make the deductions.</t>
        </r>
      </text>
    </comment>
    <comment ref="O27" authorId="0" shapeId="0" xr:uid="{00000000-0006-0000-0300-00008C000000}">
      <text>
        <r>
          <rPr>
            <sz val="8"/>
            <color indexed="81"/>
            <rFont val="Tahoma"/>
            <family val="2"/>
          </rPr>
          <t>Standard is default.
Common Fascia is when the same Fascia used for two Blinds.</t>
        </r>
      </text>
    </comment>
    <comment ref="S27" authorId="0" shapeId="0" xr:uid="{00000000-0006-0000-0300-00008D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27" authorId="0" shapeId="0" xr:uid="{00000000-0006-0000-0300-00008E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28" authorId="0" shapeId="0" xr:uid="{00000000-0006-0000-0300-00008F000000}">
      <text>
        <r>
          <rPr>
            <sz val="8"/>
            <color indexed="81"/>
            <rFont val="Tahoma"/>
            <family val="2"/>
          </rPr>
          <t>Minimum Width is 222mm.
Maximum Width is 3000mm. 
All openings over 3000mm wide will require multiple Blinds.</t>
        </r>
      </text>
    </comment>
    <comment ref="G28" authorId="0" shapeId="0" xr:uid="{00000000-0006-0000-0300-000090000000}">
      <text>
        <r>
          <rPr>
            <sz val="8"/>
            <color indexed="81"/>
            <rFont val="Tahoma"/>
            <family val="2"/>
          </rPr>
          <t xml:space="preserve">Minimum Height/Drop is 200mm.
Maximum Height/Drop is 3000mm. </t>
        </r>
      </text>
    </comment>
    <comment ref="H28" authorId="0" shapeId="0" xr:uid="{00000000-0006-0000-0300-000091000000}">
      <text>
        <r>
          <rPr>
            <sz val="8"/>
            <color indexed="81"/>
            <rFont val="Tahoma"/>
            <family val="2"/>
          </rPr>
          <t>When selecting a
Corner or Bay 
Window Type, 
the CMB Corner WS or 
CMB Bay WS 
must be completed.</t>
        </r>
      </text>
    </comment>
    <comment ref="J28" authorId="0" shapeId="0" xr:uid="{00000000-0006-0000-0300-000092000000}">
      <text>
        <r>
          <rPr>
            <sz val="8"/>
            <color indexed="81"/>
            <rFont val="Tahoma"/>
            <family val="2"/>
          </rPr>
          <t>ACT 
Actual Measurements
You have made the allowances.
NAM
No Allowances Made 
The factory will make the deductions.</t>
        </r>
      </text>
    </comment>
    <comment ref="O28" authorId="0" shapeId="0" xr:uid="{00000000-0006-0000-0300-000093000000}">
      <text>
        <r>
          <rPr>
            <sz val="8"/>
            <color indexed="81"/>
            <rFont val="Tahoma"/>
            <family val="2"/>
          </rPr>
          <t>Standard is default.
Common Fascia is when the same Fascia used for two Blinds.</t>
        </r>
      </text>
    </comment>
    <comment ref="S28" authorId="0" shapeId="0" xr:uid="{00000000-0006-0000-0300-000094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28" authorId="0" shapeId="0" xr:uid="{00000000-0006-0000-0300-000095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29" authorId="0" shapeId="0" xr:uid="{00000000-0006-0000-0300-000096000000}">
      <text>
        <r>
          <rPr>
            <sz val="8"/>
            <color indexed="81"/>
            <rFont val="Tahoma"/>
            <family val="2"/>
          </rPr>
          <t>Minimum Width is 222mm.
Maximum Width is 3000mm. 
All openings over 3000mm wide will require multiple Blinds.</t>
        </r>
      </text>
    </comment>
    <comment ref="G29" authorId="0" shapeId="0" xr:uid="{00000000-0006-0000-0300-000097000000}">
      <text>
        <r>
          <rPr>
            <sz val="8"/>
            <color indexed="81"/>
            <rFont val="Tahoma"/>
            <family val="2"/>
          </rPr>
          <t xml:space="preserve">Minimum Height/Drop is 200mm.
Maximum Height/Drop is 3000mm. </t>
        </r>
      </text>
    </comment>
    <comment ref="H29" authorId="0" shapeId="0" xr:uid="{00000000-0006-0000-0300-000098000000}">
      <text>
        <r>
          <rPr>
            <sz val="8"/>
            <color indexed="81"/>
            <rFont val="Tahoma"/>
            <family val="2"/>
          </rPr>
          <t>When selecting a
Corner or Bay 
Window Type, 
the CMB Corner WS or 
CMB Bay WS 
must be completed.</t>
        </r>
      </text>
    </comment>
    <comment ref="J29" authorId="0" shapeId="0" xr:uid="{00000000-0006-0000-0300-000099000000}">
      <text>
        <r>
          <rPr>
            <sz val="8"/>
            <color indexed="81"/>
            <rFont val="Tahoma"/>
            <family val="2"/>
          </rPr>
          <t>ACT 
Actual Measurements
You have made the allowances.
NAM
No Allowances Made 
The factory will make the deductions.</t>
        </r>
      </text>
    </comment>
    <comment ref="O29" authorId="0" shapeId="0" xr:uid="{00000000-0006-0000-0300-00009A000000}">
      <text>
        <r>
          <rPr>
            <sz val="8"/>
            <color indexed="81"/>
            <rFont val="Tahoma"/>
            <family val="2"/>
          </rPr>
          <t>Standard is default.
Common Fascia is when the same Fascia used for two Blinds.</t>
        </r>
      </text>
    </comment>
    <comment ref="S29" authorId="0" shapeId="0" xr:uid="{00000000-0006-0000-0300-00009B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29" authorId="0" shapeId="0" xr:uid="{00000000-0006-0000-0300-00009C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30" authorId="0" shapeId="0" xr:uid="{00000000-0006-0000-0300-00009D000000}">
      <text>
        <r>
          <rPr>
            <sz val="8"/>
            <color indexed="81"/>
            <rFont val="Tahoma"/>
            <family val="2"/>
          </rPr>
          <t>Minimum Width is 222mm.
Maximum Width is 3000mm. 
All openings over 3000mm wide will require multiple Blinds.</t>
        </r>
      </text>
    </comment>
    <comment ref="G30" authorId="0" shapeId="0" xr:uid="{00000000-0006-0000-0300-00009E000000}">
      <text>
        <r>
          <rPr>
            <sz val="8"/>
            <color indexed="81"/>
            <rFont val="Tahoma"/>
            <family val="2"/>
          </rPr>
          <t xml:space="preserve">Minimum Height/Drop is 200mm.
Maximum Height/Drop is 3000mm. </t>
        </r>
      </text>
    </comment>
    <comment ref="H30" authorId="0" shapeId="0" xr:uid="{00000000-0006-0000-0300-00009F000000}">
      <text>
        <r>
          <rPr>
            <sz val="8"/>
            <color indexed="81"/>
            <rFont val="Tahoma"/>
            <family val="2"/>
          </rPr>
          <t>When selecting a
Corner or Bay 
Window Type, 
the CMB Corner WS or 
CMB Bay WS 
must be completed.</t>
        </r>
      </text>
    </comment>
    <comment ref="J30" authorId="0" shapeId="0" xr:uid="{00000000-0006-0000-0300-0000A0000000}">
      <text>
        <r>
          <rPr>
            <sz val="8"/>
            <color indexed="81"/>
            <rFont val="Tahoma"/>
            <family val="2"/>
          </rPr>
          <t>ACT 
Actual Measurements
You have made the allowances.
NAM
No Allowances Made 
The factory will make the deductions.</t>
        </r>
      </text>
    </comment>
    <comment ref="O30" authorId="0" shapeId="0" xr:uid="{00000000-0006-0000-0300-0000A1000000}">
      <text>
        <r>
          <rPr>
            <sz val="8"/>
            <color indexed="81"/>
            <rFont val="Tahoma"/>
            <family val="2"/>
          </rPr>
          <t>Standard is default.
Common Fascia is when the same Fascia used for two Blinds.</t>
        </r>
      </text>
    </comment>
    <comment ref="S30" authorId="0" shapeId="0" xr:uid="{00000000-0006-0000-0300-0000A2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30" authorId="0" shapeId="0" xr:uid="{00000000-0006-0000-0300-0000A3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31" authorId="0" shapeId="0" xr:uid="{00000000-0006-0000-0300-0000A4000000}">
      <text>
        <r>
          <rPr>
            <sz val="8"/>
            <color indexed="81"/>
            <rFont val="Tahoma"/>
            <family val="2"/>
          </rPr>
          <t>Minimum Width is 222mm.
Maximum Width is 3000mm. 
All openings over 3000mm wide will require multiple Blinds.</t>
        </r>
      </text>
    </comment>
    <comment ref="G31" authorId="0" shapeId="0" xr:uid="{00000000-0006-0000-0300-0000A5000000}">
      <text>
        <r>
          <rPr>
            <sz val="8"/>
            <color indexed="81"/>
            <rFont val="Tahoma"/>
            <family val="2"/>
          </rPr>
          <t xml:space="preserve">Minimum Height/Drop is 200mm.
Maximum Height/Drop is 3000mm. </t>
        </r>
      </text>
    </comment>
    <comment ref="H31" authorId="0" shapeId="0" xr:uid="{00000000-0006-0000-0300-0000A6000000}">
      <text>
        <r>
          <rPr>
            <sz val="8"/>
            <color indexed="81"/>
            <rFont val="Tahoma"/>
            <family val="2"/>
          </rPr>
          <t>When selecting a
Corner or Bay 
Window Type, 
the CMB Corner WS or 
CMB Bay WS 
must be completed.</t>
        </r>
      </text>
    </comment>
    <comment ref="J31" authorId="0" shapeId="0" xr:uid="{00000000-0006-0000-0300-0000A7000000}">
      <text>
        <r>
          <rPr>
            <sz val="8"/>
            <color indexed="81"/>
            <rFont val="Tahoma"/>
            <family val="2"/>
          </rPr>
          <t>ACT 
Actual Measurements
You have made the allowances.
NAM
No Allowances Made 
The factory will make the deductions.</t>
        </r>
      </text>
    </comment>
    <comment ref="O31" authorId="0" shapeId="0" xr:uid="{00000000-0006-0000-0300-0000A8000000}">
      <text>
        <r>
          <rPr>
            <sz val="8"/>
            <color indexed="81"/>
            <rFont val="Tahoma"/>
            <family val="2"/>
          </rPr>
          <t>Standard is default.
Common Fascia is when the same Fascia used for two Blinds.</t>
        </r>
      </text>
    </comment>
    <comment ref="S31" authorId="0" shapeId="0" xr:uid="{00000000-0006-0000-0300-0000A9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31" authorId="0" shapeId="0" xr:uid="{00000000-0006-0000-0300-0000AA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32" authorId="0" shapeId="0" xr:uid="{00000000-0006-0000-0300-0000AB000000}">
      <text>
        <r>
          <rPr>
            <sz val="8"/>
            <color indexed="81"/>
            <rFont val="Tahoma"/>
            <family val="2"/>
          </rPr>
          <t>Minimum Width is 222mm.
Maximum Width is 3000mm. 
All openings over 3000mm wide will require multiple Blinds.</t>
        </r>
      </text>
    </comment>
    <comment ref="G32" authorId="0" shapeId="0" xr:uid="{00000000-0006-0000-0300-0000AC000000}">
      <text>
        <r>
          <rPr>
            <sz val="8"/>
            <color indexed="81"/>
            <rFont val="Tahoma"/>
            <family val="2"/>
          </rPr>
          <t xml:space="preserve">Minimum Height/Drop is 200mm.
Maximum Height/Drop is 3000mm. </t>
        </r>
      </text>
    </comment>
    <comment ref="H32" authorId="0" shapeId="0" xr:uid="{00000000-0006-0000-0300-0000AD000000}">
      <text>
        <r>
          <rPr>
            <sz val="8"/>
            <color indexed="81"/>
            <rFont val="Tahoma"/>
            <family val="2"/>
          </rPr>
          <t>When selecting a
Corner or Bay 
Window Type, 
the CMB Corner WS or 
CMB Bay WS 
must be completed.</t>
        </r>
      </text>
    </comment>
    <comment ref="J32" authorId="0" shapeId="0" xr:uid="{00000000-0006-0000-0300-0000AE000000}">
      <text>
        <r>
          <rPr>
            <sz val="8"/>
            <color indexed="81"/>
            <rFont val="Tahoma"/>
            <family val="2"/>
          </rPr>
          <t>ACT 
Actual Measurements
You have made the allowances.
NAM
No Allowances Made 
The factory will make the deductions.</t>
        </r>
      </text>
    </comment>
    <comment ref="O32" authorId="0" shapeId="0" xr:uid="{00000000-0006-0000-0300-0000AF000000}">
      <text>
        <r>
          <rPr>
            <sz val="8"/>
            <color indexed="81"/>
            <rFont val="Tahoma"/>
            <family val="2"/>
          </rPr>
          <t>Standard is default.
Common Fascia is when the same Fascia used for two Blinds.</t>
        </r>
      </text>
    </comment>
    <comment ref="S32" authorId="0" shapeId="0" xr:uid="{00000000-0006-0000-0300-0000B0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32" authorId="0" shapeId="0" xr:uid="{00000000-0006-0000-0300-0000B1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33" authorId="0" shapeId="0" xr:uid="{00000000-0006-0000-0300-0000B2000000}">
      <text>
        <r>
          <rPr>
            <sz val="8"/>
            <color indexed="81"/>
            <rFont val="Tahoma"/>
            <family val="2"/>
          </rPr>
          <t>Minimum Width is 222mm.
Maximum Width is 3000mm. 
All openings over 3000mm wide will require multiple Blinds.</t>
        </r>
      </text>
    </comment>
    <comment ref="G33" authorId="0" shapeId="0" xr:uid="{00000000-0006-0000-0300-0000B3000000}">
      <text>
        <r>
          <rPr>
            <sz val="8"/>
            <color indexed="81"/>
            <rFont val="Tahoma"/>
            <family val="2"/>
          </rPr>
          <t xml:space="preserve">Minimum Height/Drop is 200mm.
Maximum Height/Drop is 3000mm. </t>
        </r>
      </text>
    </comment>
    <comment ref="H33" authorId="0" shapeId="0" xr:uid="{00000000-0006-0000-0300-0000B4000000}">
      <text>
        <r>
          <rPr>
            <sz val="8"/>
            <color indexed="81"/>
            <rFont val="Tahoma"/>
            <family val="2"/>
          </rPr>
          <t>When selecting a
Corner or Bay 
Window Type, 
the CMB Corner WS or 
CMB Bay WS 
must be completed.</t>
        </r>
      </text>
    </comment>
    <comment ref="J33" authorId="0" shapeId="0" xr:uid="{00000000-0006-0000-0300-0000B5000000}">
      <text>
        <r>
          <rPr>
            <sz val="8"/>
            <color indexed="81"/>
            <rFont val="Tahoma"/>
            <family val="2"/>
          </rPr>
          <t>ACT 
Actual Measurements
You have made the allowances.
NAM
No Allowances Made 
The factory will make the deductions.</t>
        </r>
      </text>
    </comment>
    <comment ref="O33" authorId="0" shapeId="0" xr:uid="{00000000-0006-0000-0300-0000B6000000}">
      <text>
        <r>
          <rPr>
            <sz val="8"/>
            <color indexed="81"/>
            <rFont val="Tahoma"/>
            <family val="2"/>
          </rPr>
          <t>Standard is default.
Common Fascia is when the same Fascia used for two Blinds.</t>
        </r>
      </text>
    </comment>
    <comment ref="S33" authorId="0" shapeId="0" xr:uid="{00000000-0006-0000-0300-0000B7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33" authorId="0" shapeId="0" xr:uid="{00000000-0006-0000-0300-0000B8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34" authorId="0" shapeId="0" xr:uid="{00000000-0006-0000-0300-0000B9000000}">
      <text>
        <r>
          <rPr>
            <sz val="8"/>
            <color indexed="81"/>
            <rFont val="Tahoma"/>
            <family val="2"/>
          </rPr>
          <t>Minimum Width is 222mm.
Maximum Width is 3000mm. 
All openings over 3000mm wide will require multiple Blinds.</t>
        </r>
      </text>
    </comment>
    <comment ref="G34" authorId="0" shapeId="0" xr:uid="{00000000-0006-0000-0300-0000BA000000}">
      <text>
        <r>
          <rPr>
            <sz val="8"/>
            <color indexed="81"/>
            <rFont val="Tahoma"/>
            <family val="2"/>
          </rPr>
          <t xml:space="preserve">Minimum Height/Drop is 200mm.
Maximum Height/Drop is 3000mm. </t>
        </r>
      </text>
    </comment>
    <comment ref="H34" authorId="0" shapeId="0" xr:uid="{00000000-0006-0000-0300-0000BB000000}">
      <text>
        <r>
          <rPr>
            <sz val="8"/>
            <color indexed="81"/>
            <rFont val="Tahoma"/>
            <family val="2"/>
          </rPr>
          <t>When selecting a
Corner or Bay 
Window Type, 
the CMB Corner WS or 
CMB Bay WS 
must be completed.</t>
        </r>
      </text>
    </comment>
    <comment ref="J34" authorId="0" shapeId="0" xr:uid="{00000000-0006-0000-0300-0000BC000000}">
      <text>
        <r>
          <rPr>
            <sz val="8"/>
            <color indexed="81"/>
            <rFont val="Tahoma"/>
            <family val="2"/>
          </rPr>
          <t>ACT 
Actual Measurements
You have made the allowances.
NAM
No Allowances Made 
The factory will make the deductions.</t>
        </r>
      </text>
    </comment>
    <comment ref="O34" authorId="0" shapeId="0" xr:uid="{00000000-0006-0000-0300-0000BD000000}">
      <text>
        <r>
          <rPr>
            <sz val="8"/>
            <color indexed="81"/>
            <rFont val="Tahoma"/>
            <family val="2"/>
          </rPr>
          <t>Standard is default.
Common Fascia is when the same Fascia used for two Blinds.</t>
        </r>
      </text>
    </comment>
    <comment ref="S34" authorId="0" shapeId="0" xr:uid="{00000000-0006-0000-0300-0000BE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34" authorId="0" shapeId="0" xr:uid="{00000000-0006-0000-0300-0000BF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35" authorId="0" shapeId="0" xr:uid="{00000000-0006-0000-0300-0000C0000000}">
      <text>
        <r>
          <rPr>
            <sz val="8"/>
            <color indexed="81"/>
            <rFont val="Tahoma"/>
            <family val="2"/>
          </rPr>
          <t>Minimum Width is 222mm.
Maximum Width is 3000mm. 
All openings over 3000mm wide will require multiple Blinds.</t>
        </r>
      </text>
    </comment>
    <comment ref="G35" authorId="0" shapeId="0" xr:uid="{00000000-0006-0000-0300-0000C1000000}">
      <text>
        <r>
          <rPr>
            <sz val="8"/>
            <color indexed="81"/>
            <rFont val="Tahoma"/>
            <family val="2"/>
          </rPr>
          <t xml:space="preserve">Minimum Height/Drop is 200mm.
Maximum Height/Drop is 3000mm. </t>
        </r>
      </text>
    </comment>
    <comment ref="H35" authorId="0" shapeId="0" xr:uid="{00000000-0006-0000-0300-0000C2000000}">
      <text>
        <r>
          <rPr>
            <sz val="8"/>
            <color indexed="81"/>
            <rFont val="Tahoma"/>
            <family val="2"/>
          </rPr>
          <t>When selecting a
Corner or Bay 
Window Type, 
the CMB Corner WS or 
CMB Bay WS 
must be completed.</t>
        </r>
      </text>
    </comment>
    <comment ref="J35" authorId="0" shapeId="0" xr:uid="{00000000-0006-0000-0300-0000C3000000}">
      <text>
        <r>
          <rPr>
            <sz val="8"/>
            <color indexed="81"/>
            <rFont val="Tahoma"/>
            <family val="2"/>
          </rPr>
          <t>ACT 
Actual Measurements
You have made the allowances.
NAM
No Allowances Made 
The factory will make the deductions.</t>
        </r>
      </text>
    </comment>
    <comment ref="O35" authorId="0" shapeId="0" xr:uid="{00000000-0006-0000-0300-0000C4000000}">
      <text>
        <r>
          <rPr>
            <sz val="8"/>
            <color indexed="81"/>
            <rFont val="Tahoma"/>
            <family val="2"/>
          </rPr>
          <t>Standard is default.
Common Fascia is when the same Fascia used for two Blinds.</t>
        </r>
      </text>
    </comment>
    <comment ref="S35" authorId="0" shapeId="0" xr:uid="{00000000-0006-0000-0300-0000C5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35" authorId="0" shapeId="0" xr:uid="{00000000-0006-0000-0300-0000C6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36" authorId="0" shapeId="0" xr:uid="{00000000-0006-0000-0300-0000C7000000}">
      <text>
        <r>
          <rPr>
            <sz val="8"/>
            <color indexed="81"/>
            <rFont val="Tahoma"/>
            <family val="2"/>
          </rPr>
          <t>Minimum Width is 222mm.
Maximum Width is 3000mm. 
All openings over 3000mm wide will require multiple Blinds.</t>
        </r>
      </text>
    </comment>
    <comment ref="G36" authorId="0" shapeId="0" xr:uid="{00000000-0006-0000-0300-0000C8000000}">
      <text>
        <r>
          <rPr>
            <sz val="8"/>
            <color indexed="81"/>
            <rFont val="Tahoma"/>
            <family val="2"/>
          </rPr>
          <t xml:space="preserve">Minimum Height/Drop is 200mm.
Maximum Height/Drop is 3000mm. </t>
        </r>
      </text>
    </comment>
    <comment ref="H36" authorId="0" shapeId="0" xr:uid="{00000000-0006-0000-0300-0000C9000000}">
      <text>
        <r>
          <rPr>
            <sz val="8"/>
            <color indexed="81"/>
            <rFont val="Tahoma"/>
            <family val="2"/>
          </rPr>
          <t>When selecting a
Corner or Bay 
Window Type, 
the CMB Corner WS or 
CMB Bay WS 
must be completed.</t>
        </r>
      </text>
    </comment>
    <comment ref="J36" authorId="0" shapeId="0" xr:uid="{00000000-0006-0000-0300-0000CA000000}">
      <text>
        <r>
          <rPr>
            <sz val="8"/>
            <color indexed="81"/>
            <rFont val="Tahoma"/>
            <family val="2"/>
          </rPr>
          <t>ACT 
Actual Measurements
You have made the allowances.
NAM
No Allowances Made 
The factory will make the deductions.</t>
        </r>
      </text>
    </comment>
    <comment ref="O36" authorId="0" shapeId="0" xr:uid="{00000000-0006-0000-0300-0000CB000000}">
      <text>
        <r>
          <rPr>
            <sz val="8"/>
            <color indexed="81"/>
            <rFont val="Tahoma"/>
            <family val="2"/>
          </rPr>
          <t>Standard is default.
Common Fascia is when the same Fascia used for two Blinds.</t>
        </r>
      </text>
    </comment>
    <comment ref="S36" authorId="0" shapeId="0" xr:uid="{00000000-0006-0000-0300-0000CC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36" authorId="0" shapeId="0" xr:uid="{00000000-0006-0000-0300-0000CD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37" authorId="0" shapeId="0" xr:uid="{00000000-0006-0000-0300-0000CE000000}">
      <text>
        <r>
          <rPr>
            <sz val="8"/>
            <color indexed="81"/>
            <rFont val="Tahoma"/>
            <family val="2"/>
          </rPr>
          <t>Minimum Width is 222mm.
Maximum Width is 3000mm. 
All openings over 3000mm wide will require multiple Blinds.</t>
        </r>
      </text>
    </comment>
    <comment ref="G37" authorId="0" shapeId="0" xr:uid="{00000000-0006-0000-0300-0000CF000000}">
      <text>
        <r>
          <rPr>
            <sz val="8"/>
            <color indexed="81"/>
            <rFont val="Tahoma"/>
            <family val="2"/>
          </rPr>
          <t xml:space="preserve">Minimum Height/Drop is 200mm.
Maximum Height/Drop is 3000mm. </t>
        </r>
      </text>
    </comment>
    <comment ref="H37" authorId="0" shapeId="0" xr:uid="{00000000-0006-0000-0300-0000D0000000}">
      <text>
        <r>
          <rPr>
            <sz val="8"/>
            <color indexed="81"/>
            <rFont val="Tahoma"/>
            <family val="2"/>
          </rPr>
          <t>When selecting a
Corner or Bay 
Window Type, 
the CMB Corner WS or 
CMB Bay WS 
must be completed.</t>
        </r>
      </text>
    </comment>
    <comment ref="J37" authorId="0" shapeId="0" xr:uid="{00000000-0006-0000-0300-0000D1000000}">
      <text>
        <r>
          <rPr>
            <sz val="8"/>
            <color indexed="81"/>
            <rFont val="Tahoma"/>
            <family val="2"/>
          </rPr>
          <t>ACT 
Actual Measurements
You have made the allowances.
NAM
No Allowances Made 
The factory will make the deductions.</t>
        </r>
      </text>
    </comment>
    <comment ref="O37" authorId="0" shapeId="0" xr:uid="{00000000-0006-0000-0300-0000D2000000}">
      <text>
        <r>
          <rPr>
            <sz val="8"/>
            <color indexed="81"/>
            <rFont val="Tahoma"/>
            <family val="2"/>
          </rPr>
          <t>Standard is default.
Common Fascia is when the same Fascia used for two Blinds.</t>
        </r>
      </text>
    </comment>
    <comment ref="S37" authorId="0" shapeId="0" xr:uid="{00000000-0006-0000-0300-0000D3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37" authorId="0" shapeId="0" xr:uid="{00000000-0006-0000-0300-0000D4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38" authorId="0" shapeId="0" xr:uid="{00000000-0006-0000-0300-0000D5000000}">
      <text>
        <r>
          <rPr>
            <sz val="8"/>
            <color indexed="81"/>
            <rFont val="Tahoma"/>
            <family val="2"/>
          </rPr>
          <t>Minimum Width is 222mm.
Maximum Width is 3000mm. 
All openings over 3000mm wide will require multiple Blinds.</t>
        </r>
      </text>
    </comment>
    <comment ref="G38" authorId="0" shapeId="0" xr:uid="{00000000-0006-0000-0300-0000D6000000}">
      <text>
        <r>
          <rPr>
            <sz val="8"/>
            <color indexed="81"/>
            <rFont val="Tahoma"/>
            <family val="2"/>
          </rPr>
          <t xml:space="preserve">Minimum Height/Drop is 200mm.
Maximum Height/Drop is 3000mm. </t>
        </r>
      </text>
    </comment>
    <comment ref="H38" authorId="0" shapeId="0" xr:uid="{00000000-0006-0000-0300-0000D7000000}">
      <text>
        <r>
          <rPr>
            <sz val="8"/>
            <color indexed="81"/>
            <rFont val="Tahoma"/>
            <family val="2"/>
          </rPr>
          <t>When selecting a
Corner or Bay 
Window Type, 
the CMB Corner WS or 
CMB Bay WS 
must be completed.</t>
        </r>
      </text>
    </comment>
    <comment ref="J38" authorId="0" shapeId="0" xr:uid="{00000000-0006-0000-0300-0000D8000000}">
      <text>
        <r>
          <rPr>
            <sz val="8"/>
            <color indexed="81"/>
            <rFont val="Tahoma"/>
            <family val="2"/>
          </rPr>
          <t>ACT 
Actual Measurements
You have made the allowances.
NAM
No Allowances Made 
The factory will make the deductions.</t>
        </r>
      </text>
    </comment>
    <comment ref="O38" authorId="0" shapeId="0" xr:uid="{00000000-0006-0000-0300-0000D9000000}">
      <text>
        <r>
          <rPr>
            <sz val="8"/>
            <color indexed="81"/>
            <rFont val="Tahoma"/>
            <family val="2"/>
          </rPr>
          <t>Standard is default.
Common Fascia is when the same Fascia used for two Blinds.</t>
        </r>
      </text>
    </comment>
    <comment ref="S38" authorId="0" shapeId="0" xr:uid="{00000000-0006-0000-0300-0000DA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38" authorId="0" shapeId="0" xr:uid="{00000000-0006-0000-0300-0000DB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39" authorId="0" shapeId="0" xr:uid="{00000000-0006-0000-0300-0000DC000000}">
      <text>
        <r>
          <rPr>
            <sz val="8"/>
            <color indexed="81"/>
            <rFont val="Tahoma"/>
            <family val="2"/>
          </rPr>
          <t>Minimum Width is 222mm.
Maximum Width is 3000mm. 
All openings over 3000mm wide will require multiple Blinds.</t>
        </r>
      </text>
    </comment>
    <comment ref="G39" authorId="0" shapeId="0" xr:uid="{00000000-0006-0000-0300-0000DD000000}">
      <text>
        <r>
          <rPr>
            <sz val="8"/>
            <color indexed="81"/>
            <rFont val="Tahoma"/>
            <family val="2"/>
          </rPr>
          <t xml:space="preserve">Minimum Height/Drop is 200mm.
Maximum Height/Drop is 3000mm. </t>
        </r>
      </text>
    </comment>
    <comment ref="H39" authorId="0" shapeId="0" xr:uid="{00000000-0006-0000-0300-0000DE000000}">
      <text>
        <r>
          <rPr>
            <sz val="8"/>
            <color indexed="81"/>
            <rFont val="Tahoma"/>
            <family val="2"/>
          </rPr>
          <t>When selecting a
Corner or Bay 
Window Type, 
the CMB Corner WS or 
CMB Bay WS 
must be completed.</t>
        </r>
      </text>
    </comment>
    <comment ref="J39" authorId="0" shapeId="0" xr:uid="{00000000-0006-0000-0300-0000DF000000}">
      <text>
        <r>
          <rPr>
            <sz val="8"/>
            <color indexed="81"/>
            <rFont val="Tahoma"/>
            <family val="2"/>
          </rPr>
          <t>ACT 
Actual Measurements
You have made the allowances.
NAM
No Allowances Made 
The factory will make the deductions.</t>
        </r>
      </text>
    </comment>
    <comment ref="O39" authorId="0" shapeId="0" xr:uid="{00000000-0006-0000-0300-0000E0000000}">
      <text>
        <r>
          <rPr>
            <sz val="8"/>
            <color indexed="81"/>
            <rFont val="Tahoma"/>
            <family val="2"/>
          </rPr>
          <t>Standard is default.
Common Fascia is when the same Fascia used for two Blinds.</t>
        </r>
      </text>
    </comment>
    <comment ref="S39" authorId="0" shapeId="0" xr:uid="{00000000-0006-0000-0300-0000E1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39" authorId="0" shapeId="0" xr:uid="{00000000-0006-0000-0300-0000E2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40" authorId="0" shapeId="0" xr:uid="{00000000-0006-0000-0300-0000E3000000}">
      <text>
        <r>
          <rPr>
            <sz val="8"/>
            <color indexed="81"/>
            <rFont val="Tahoma"/>
            <family val="2"/>
          </rPr>
          <t>Minimum Width is 222mm.
Maximum Width is 3000mm. 
All openings over 3000mm wide will require multiple Blinds.</t>
        </r>
      </text>
    </comment>
    <comment ref="G40" authorId="0" shapeId="0" xr:uid="{00000000-0006-0000-0300-0000E4000000}">
      <text>
        <r>
          <rPr>
            <sz val="8"/>
            <color indexed="81"/>
            <rFont val="Tahoma"/>
            <family val="2"/>
          </rPr>
          <t xml:space="preserve">Minimum Height/Drop is 200mm.
Maximum Height/Drop is 3000mm. </t>
        </r>
      </text>
    </comment>
    <comment ref="H40" authorId="0" shapeId="0" xr:uid="{00000000-0006-0000-0300-0000E5000000}">
      <text>
        <r>
          <rPr>
            <sz val="8"/>
            <color indexed="81"/>
            <rFont val="Tahoma"/>
            <family val="2"/>
          </rPr>
          <t>When selecting a
Corner or Bay 
Window Type, 
the CMB Corner WS or 
CMB Bay WS 
must be completed.</t>
        </r>
      </text>
    </comment>
    <comment ref="J40" authorId="0" shapeId="0" xr:uid="{00000000-0006-0000-0300-0000E6000000}">
      <text>
        <r>
          <rPr>
            <sz val="8"/>
            <color indexed="81"/>
            <rFont val="Tahoma"/>
            <family val="2"/>
          </rPr>
          <t>ACT 
Actual Measurements
You have made the allowances.
NAM
No Allowances Made 
The factory will make the deductions.</t>
        </r>
      </text>
    </comment>
    <comment ref="O40" authorId="0" shapeId="0" xr:uid="{00000000-0006-0000-0300-0000E7000000}">
      <text>
        <r>
          <rPr>
            <sz val="8"/>
            <color indexed="81"/>
            <rFont val="Tahoma"/>
            <family val="2"/>
          </rPr>
          <t>Standard is default.
Common Fascia is when the same Fascia used for two Blinds.</t>
        </r>
      </text>
    </comment>
    <comment ref="S40" authorId="0" shapeId="0" xr:uid="{00000000-0006-0000-0300-0000E8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40" authorId="0" shapeId="0" xr:uid="{00000000-0006-0000-0300-0000E9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41" authorId="0" shapeId="0" xr:uid="{00000000-0006-0000-0300-0000EA000000}">
      <text>
        <r>
          <rPr>
            <sz val="8"/>
            <color indexed="81"/>
            <rFont val="Tahoma"/>
            <family val="2"/>
          </rPr>
          <t>Minimum Width is 222mm.
Maximum Width is 3000mm. 
All openings over 3000mm wide will require multiple Blinds.</t>
        </r>
      </text>
    </comment>
    <comment ref="G41" authorId="0" shapeId="0" xr:uid="{00000000-0006-0000-0300-0000EB000000}">
      <text>
        <r>
          <rPr>
            <sz val="8"/>
            <color indexed="81"/>
            <rFont val="Tahoma"/>
            <family val="2"/>
          </rPr>
          <t xml:space="preserve">Minimum Height/Drop is 200mm.
Maximum Height/Drop is 3000mm. </t>
        </r>
      </text>
    </comment>
    <comment ref="H41" authorId="0" shapeId="0" xr:uid="{00000000-0006-0000-0300-0000EC000000}">
      <text>
        <r>
          <rPr>
            <sz val="8"/>
            <color indexed="81"/>
            <rFont val="Tahoma"/>
            <family val="2"/>
          </rPr>
          <t>When selecting a
Corner or Bay 
Window Type, 
the CMB Corner WS or 
CMB Bay WS 
must be completed.</t>
        </r>
      </text>
    </comment>
    <comment ref="J41" authorId="0" shapeId="0" xr:uid="{00000000-0006-0000-0300-0000ED000000}">
      <text>
        <r>
          <rPr>
            <sz val="8"/>
            <color indexed="81"/>
            <rFont val="Tahoma"/>
            <family val="2"/>
          </rPr>
          <t>ACT 
Actual Measurements
You have made the allowances.
NAM
No Allowances Made 
The factory will make the deductions.</t>
        </r>
      </text>
    </comment>
    <comment ref="O41" authorId="0" shapeId="0" xr:uid="{00000000-0006-0000-0300-0000EE000000}">
      <text>
        <r>
          <rPr>
            <sz val="8"/>
            <color indexed="81"/>
            <rFont val="Tahoma"/>
            <family val="2"/>
          </rPr>
          <t>Standard is default.
Common Fascia is when the same Fascia used for two Blinds.</t>
        </r>
      </text>
    </comment>
    <comment ref="S41" authorId="0" shapeId="0" xr:uid="{00000000-0006-0000-0300-0000EF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41" authorId="0" shapeId="0" xr:uid="{00000000-0006-0000-0300-0000F0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42" authorId="0" shapeId="0" xr:uid="{00000000-0006-0000-0300-0000F1000000}">
      <text>
        <r>
          <rPr>
            <sz val="8"/>
            <color indexed="81"/>
            <rFont val="Tahoma"/>
            <family val="2"/>
          </rPr>
          <t>Minimum Width is 222mm.
Maximum Width is 3000mm. 
All openings over 3000mm wide will require multiple Blinds.</t>
        </r>
      </text>
    </comment>
    <comment ref="G42" authorId="0" shapeId="0" xr:uid="{00000000-0006-0000-0300-0000F2000000}">
      <text>
        <r>
          <rPr>
            <sz val="8"/>
            <color indexed="81"/>
            <rFont val="Tahoma"/>
            <family val="2"/>
          </rPr>
          <t xml:space="preserve">Minimum Height/Drop is 200mm.
Maximum Height/Drop is 3000mm. </t>
        </r>
      </text>
    </comment>
    <comment ref="H42" authorId="0" shapeId="0" xr:uid="{00000000-0006-0000-0300-0000F3000000}">
      <text>
        <r>
          <rPr>
            <sz val="8"/>
            <color indexed="81"/>
            <rFont val="Tahoma"/>
            <family val="2"/>
          </rPr>
          <t>When selecting a
Corner or Bay 
Window Type, 
the CMB Corner WS or 
CMB Bay WS 
must be completed.</t>
        </r>
      </text>
    </comment>
    <comment ref="J42" authorId="0" shapeId="0" xr:uid="{00000000-0006-0000-0300-0000F4000000}">
      <text>
        <r>
          <rPr>
            <sz val="8"/>
            <color indexed="81"/>
            <rFont val="Tahoma"/>
            <family val="2"/>
          </rPr>
          <t>ACT 
Actual Measurements
You have made the allowances.
NAM
No Allowances Made 
The factory will make the deductions.</t>
        </r>
      </text>
    </comment>
    <comment ref="O42" authorId="0" shapeId="0" xr:uid="{00000000-0006-0000-0300-0000F5000000}">
      <text>
        <r>
          <rPr>
            <sz val="8"/>
            <color indexed="81"/>
            <rFont val="Tahoma"/>
            <family val="2"/>
          </rPr>
          <t>Standard is default.
Common Fascia is when the same Fascia used for two Blinds.</t>
        </r>
      </text>
    </comment>
    <comment ref="S42" authorId="0" shapeId="0" xr:uid="{00000000-0006-0000-0300-0000F6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42" authorId="0" shapeId="0" xr:uid="{00000000-0006-0000-0300-0000F7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43" authorId="0" shapeId="0" xr:uid="{00000000-0006-0000-0300-0000F8000000}">
      <text>
        <r>
          <rPr>
            <sz val="8"/>
            <color indexed="81"/>
            <rFont val="Tahoma"/>
            <family val="2"/>
          </rPr>
          <t>Minimum Width is 222mm.
Maximum Width is 3000mm. 
All openings over 3000mm wide will require multiple Blinds.</t>
        </r>
      </text>
    </comment>
    <comment ref="G43" authorId="0" shapeId="0" xr:uid="{00000000-0006-0000-0300-0000F9000000}">
      <text>
        <r>
          <rPr>
            <sz val="8"/>
            <color indexed="81"/>
            <rFont val="Tahoma"/>
            <family val="2"/>
          </rPr>
          <t xml:space="preserve">Minimum Height/Drop is 200mm.
Maximum Height/Drop is 3000mm. </t>
        </r>
      </text>
    </comment>
    <comment ref="H43" authorId="0" shapeId="0" xr:uid="{00000000-0006-0000-0300-0000FA000000}">
      <text>
        <r>
          <rPr>
            <sz val="8"/>
            <color indexed="81"/>
            <rFont val="Tahoma"/>
            <family val="2"/>
          </rPr>
          <t>When selecting a
Corner or Bay 
Window Type, 
the CMB Corner WS or 
CMB Bay WS 
must be completed.</t>
        </r>
      </text>
    </comment>
    <comment ref="J43" authorId="0" shapeId="0" xr:uid="{00000000-0006-0000-0300-0000FB000000}">
      <text>
        <r>
          <rPr>
            <sz val="8"/>
            <color indexed="81"/>
            <rFont val="Tahoma"/>
            <family val="2"/>
          </rPr>
          <t>ACT 
Actual Measurements
You have made the allowances.
NAM
No Allowances Made 
The factory will make the deductions.</t>
        </r>
      </text>
    </comment>
    <comment ref="O43" authorId="0" shapeId="0" xr:uid="{00000000-0006-0000-0300-0000FC000000}">
      <text>
        <r>
          <rPr>
            <sz val="8"/>
            <color indexed="81"/>
            <rFont val="Tahoma"/>
            <family val="2"/>
          </rPr>
          <t>Standard is default.
Common Fascia is when the same Fascia used for two Blinds.</t>
        </r>
      </text>
    </comment>
    <comment ref="S43" authorId="0" shapeId="0" xr:uid="{00000000-0006-0000-0300-0000FD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43" authorId="0" shapeId="0" xr:uid="{00000000-0006-0000-0300-0000FE00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44" authorId="0" shapeId="0" xr:uid="{00000000-0006-0000-0300-0000FF000000}">
      <text>
        <r>
          <rPr>
            <sz val="8"/>
            <color indexed="81"/>
            <rFont val="Tahoma"/>
            <family val="2"/>
          </rPr>
          <t>Minimum Width is 222mm.
Maximum Width is 3000mm. 
All openings over 3000mm wide will require multiple Blinds.</t>
        </r>
      </text>
    </comment>
    <comment ref="G44" authorId="0" shapeId="0" xr:uid="{00000000-0006-0000-0300-000000010000}">
      <text>
        <r>
          <rPr>
            <sz val="8"/>
            <color indexed="81"/>
            <rFont val="Tahoma"/>
            <family val="2"/>
          </rPr>
          <t xml:space="preserve">Minimum Height/Drop is 200mm.
Maximum Height/Drop is 3000mm. </t>
        </r>
      </text>
    </comment>
    <comment ref="H44" authorId="0" shapeId="0" xr:uid="{00000000-0006-0000-0300-000001010000}">
      <text>
        <r>
          <rPr>
            <sz val="8"/>
            <color indexed="81"/>
            <rFont val="Tahoma"/>
            <family val="2"/>
          </rPr>
          <t>When selecting a
Corner or Bay 
Window Type, 
the CMB Corner WS or 
CMB Bay WS 
must be completed.</t>
        </r>
      </text>
    </comment>
    <comment ref="J44" authorId="0" shapeId="0" xr:uid="{00000000-0006-0000-0300-000002010000}">
      <text>
        <r>
          <rPr>
            <sz val="8"/>
            <color indexed="81"/>
            <rFont val="Tahoma"/>
            <family val="2"/>
          </rPr>
          <t>ACT 
Actual Measurements
You have made the allowances.
NAM
No Allowances Made 
The factory will make the deductions.</t>
        </r>
      </text>
    </comment>
    <comment ref="O44" authorId="0" shapeId="0" xr:uid="{00000000-0006-0000-0300-000003010000}">
      <text>
        <r>
          <rPr>
            <sz val="8"/>
            <color indexed="81"/>
            <rFont val="Tahoma"/>
            <family val="2"/>
          </rPr>
          <t>Standard is default.
Common Fascia is when the same Fascia used for two Blinds.</t>
        </r>
      </text>
    </comment>
    <comment ref="S44" authorId="0" shapeId="0" xr:uid="{00000000-0006-0000-0300-000004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44" authorId="0" shapeId="0" xr:uid="{00000000-0006-0000-0300-000005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45" authorId="0" shapeId="0" xr:uid="{00000000-0006-0000-0300-000006010000}">
      <text>
        <r>
          <rPr>
            <sz val="8"/>
            <color indexed="81"/>
            <rFont val="Tahoma"/>
            <family val="2"/>
          </rPr>
          <t>Minimum Width is 222mm.
Maximum Width is 3000mm. 
All openings over 3000mm wide will require multiple Blinds.</t>
        </r>
      </text>
    </comment>
    <comment ref="G45" authorId="0" shapeId="0" xr:uid="{00000000-0006-0000-0300-000007010000}">
      <text>
        <r>
          <rPr>
            <sz val="8"/>
            <color indexed="81"/>
            <rFont val="Tahoma"/>
            <family val="2"/>
          </rPr>
          <t xml:space="preserve">Minimum Height/Drop is 200mm.
Maximum Height/Drop is 3000mm. </t>
        </r>
      </text>
    </comment>
    <comment ref="H45" authorId="0" shapeId="0" xr:uid="{00000000-0006-0000-0300-000008010000}">
      <text>
        <r>
          <rPr>
            <sz val="8"/>
            <color indexed="81"/>
            <rFont val="Tahoma"/>
            <family val="2"/>
          </rPr>
          <t>When selecting a
Corner or Bay 
Window Type, 
the CMB Corner WS or 
CMB Bay WS 
must be completed.</t>
        </r>
      </text>
    </comment>
    <comment ref="J45" authorId="0" shapeId="0" xr:uid="{00000000-0006-0000-0300-000009010000}">
      <text>
        <r>
          <rPr>
            <sz val="8"/>
            <color indexed="81"/>
            <rFont val="Tahoma"/>
            <family val="2"/>
          </rPr>
          <t>ACT 
Actual Measurements
You have made the allowances.
NAM
No Allowances Made 
The factory will make the deductions.</t>
        </r>
      </text>
    </comment>
    <comment ref="O45" authorId="0" shapeId="0" xr:uid="{00000000-0006-0000-0300-00000A010000}">
      <text>
        <r>
          <rPr>
            <sz val="8"/>
            <color indexed="81"/>
            <rFont val="Tahoma"/>
            <family val="2"/>
          </rPr>
          <t>Standard is default.
Common Fascia is when the same Fascia used for two Blinds.</t>
        </r>
      </text>
    </comment>
    <comment ref="S45" authorId="0" shapeId="0" xr:uid="{00000000-0006-0000-0300-00000B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45" authorId="0" shapeId="0" xr:uid="{00000000-0006-0000-0300-00000C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46" authorId="0" shapeId="0" xr:uid="{00000000-0006-0000-0300-00000D010000}">
      <text>
        <r>
          <rPr>
            <sz val="8"/>
            <color indexed="81"/>
            <rFont val="Tahoma"/>
            <family val="2"/>
          </rPr>
          <t>Minimum Width is 222mm.
Maximum Width is 3000mm. 
All openings over 3000mm wide will require multiple Blinds.</t>
        </r>
      </text>
    </comment>
    <comment ref="G46" authorId="0" shapeId="0" xr:uid="{00000000-0006-0000-0300-00000E010000}">
      <text>
        <r>
          <rPr>
            <sz val="8"/>
            <color indexed="81"/>
            <rFont val="Tahoma"/>
            <family val="2"/>
          </rPr>
          <t xml:space="preserve">Minimum Height/Drop is 200mm.
Maximum Height/Drop is 3000mm. </t>
        </r>
      </text>
    </comment>
    <comment ref="H46" authorId="0" shapeId="0" xr:uid="{00000000-0006-0000-0300-00000F010000}">
      <text>
        <r>
          <rPr>
            <sz val="8"/>
            <color indexed="81"/>
            <rFont val="Tahoma"/>
            <family val="2"/>
          </rPr>
          <t>When selecting a
Corner or Bay 
Window Type, 
the CMB Corner WS or 
CMB Bay WS 
must be completed.</t>
        </r>
      </text>
    </comment>
    <comment ref="J46" authorId="0" shapeId="0" xr:uid="{00000000-0006-0000-0300-000010010000}">
      <text>
        <r>
          <rPr>
            <sz val="8"/>
            <color indexed="81"/>
            <rFont val="Tahoma"/>
            <family val="2"/>
          </rPr>
          <t>ACT 
Actual Measurements
You have made the allowances.
NAM
No Allowances Made 
The factory will make the deductions.</t>
        </r>
      </text>
    </comment>
    <comment ref="O46" authorId="0" shapeId="0" xr:uid="{00000000-0006-0000-0300-000011010000}">
      <text>
        <r>
          <rPr>
            <sz val="8"/>
            <color indexed="81"/>
            <rFont val="Tahoma"/>
            <family val="2"/>
          </rPr>
          <t>Standard is default.
Common Fascia is when the same Fascia used for two Blinds.</t>
        </r>
      </text>
    </comment>
    <comment ref="S46" authorId="0" shapeId="0" xr:uid="{00000000-0006-0000-0300-000012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46" authorId="0" shapeId="0" xr:uid="{00000000-0006-0000-0300-000013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47" authorId="0" shapeId="0" xr:uid="{00000000-0006-0000-0300-000014010000}">
      <text>
        <r>
          <rPr>
            <sz val="8"/>
            <color indexed="81"/>
            <rFont val="Tahoma"/>
            <family val="2"/>
          </rPr>
          <t>Minimum Width is 222mm.
Maximum Width is 3000mm. 
All openings over 3000mm wide will require multiple Blinds.</t>
        </r>
      </text>
    </comment>
    <comment ref="G47" authorId="0" shapeId="0" xr:uid="{00000000-0006-0000-0300-000015010000}">
      <text>
        <r>
          <rPr>
            <sz val="8"/>
            <color indexed="81"/>
            <rFont val="Tahoma"/>
            <family val="2"/>
          </rPr>
          <t xml:space="preserve">Minimum Height/Drop is 200mm.
Maximum Height/Drop is 3000mm. </t>
        </r>
      </text>
    </comment>
    <comment ref="H47" authorId="0" shapeId="0" xr:uid="{00000000-0006-0000-0300-000016010000}">
      <text>
        <r>
          <rPr>
            <sz val="8"/>
            <color indexed="81"/>
            <rFont val="Tahoma"/>
            <family val="2"/>
          </rPr>
          <t>When selecting a
Corner or Bay 
Window Type, 
the CMB Corner WS or 
CMB Bay WS 
must be completed.</t>
        </r>
      </text>
    </comment>
    <comment ref="J47" authorId="0" shapeId="0" xr:uid="{00000000-0006-0000-0300-000017010000}">
      <text>
        <r>
          <rPr>
            <sz val="8"/>
            <color indexed="81"/>
            <rFont val="Tahoma"/>
            <family val="2"/>
          </rPr>
          <t>ACT 
Actual Measurements
You have made the allowances.
NAM
No Allowances Made 
The factory will make the deductions.</t>
        </r>
      </text>
    </comment>
    <comment ref="O47" authorId="0" shapeId="0" xr:uid="{00000000-0006-0000-0300-000018010000}">
      <text>
        <r>
          <rPr>
            <sz val="8"/>
            <color indexed="81"/>
            <rFont val="Tahoma"/>
            <family val="2"/>
          </rPr>
          <t>Standard is default.
Common Fascia is when the same Fascia used for two Blinds.</t>
        </r>
      </text>
    </comment>
    <comment ref="S47" authorId="0" shapeId="0" xr:uid="{00000000-0006-0000-0300-000019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47" authorId="0" shapeId="0" xr:uid="{00000000-0006-0000-0300-00001A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48" authorId="0" shapeId="0" xr:uid="{00000000-0006-0000-0300-00001B010000}">
      <text>
        <r>
          <rPr>
            <sz val="8"/>
            <color indexed="81"/>
            <rFont val="Tahoma"/>
            <family val="2"/>
          </rPr>
          <t>Minimum Width is 222mm.
Maximum Width is 3000mm. 
All openings over 3000mm wide will require multiple Blinds.</t>
        </r>
      </text>
    </comment>
    <comment ref="G48" authorId="0" shapeId="0" xr:uid="{00000000-0006-0000-0300-00001C010000}">
      <text>
        <r>
          <rPr>
            <sz val="8"/>
            <color indexed="81"/>
            <rFont val="Tahoma"/>
            <family val="2"/>
          </rPr>
          <t xml:space="preserve">Minimum Height/Drop is 200mm.
Maximum Height/Drop is 3000mm. </t>
        </r>
      </text>
    </comment>
    <comment ref="H48" authorId="0" shapeId="0" xr:uid="{00000000-0006-0000-0300-00001D010000}">
      <text>
        <r>
          <rPr>
            <sz val="8"/>
            <color indexed="81"/>
            <rFont val="Tahoma"/>
            <family val="2"/>
          </rPr>
          <t>When selecting a
Corner or Bay 
Window Type, 
the CMB Corner WS or 
CMB Bay WS 
must be completed.</t>
        </r>
      </text>
    </comment>
    <comment ref="J48" authorId="0" shapeId="0" xr:uid="{00000000-0006-0000-0300-00001E010000}">
      <text>
        <r>
          <rPr>
            <sz val="8"/>
            <color indexed="81"/>
            <rFont val="Tahoma"/>
            <family val="2"/>
          </rPr>
          <t>ACT 
Actual Measurements
You have made the allowances.
NAM
No Allowances Made 
The factory will make the deductions.</t>
        </r>
      </text>
    </comment>
    <comment ref="O48" authorId="0" shapeId="0" xr:uid="{00000000-0006-0000-0300-00001F010000}">
      <text>
        <r>
          <rPr>
            <sz val="8"/>
            <color indexed="81"/>
            <rFont val="Tahoma"/>
            <family val="2"/>
          </rPr>
          <t>Standard is default.
Common Fascia is when the same Fascia used for two Blinds.</t>
        </r>
      </text>
    </comment>
    <comment ref="S48" authorId="0" shapeId="0" xr:uid="{00000000-0006-0000-0300-000020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48" authorId="0" shapeId="0" xr:uid="{00000000-0006-0000-0300-000021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49" authorId="0" shapeId="0" xr:uid="{00000000-0006-0000-0300-000022010000}">
      <text>
        <r>
          <rPr>
            <sz val="8"/>
            <color indexed="81"/>
            <rFont val="Tahoma"/>
            <family val="2"/>
          </rPr>
          <t>Minimum Width is 222mm.
Maximum Width is 3000mm. 
All openings over 3000mm wide will require multiple Blinds.</t>
        </r>
      </text>
    </comment>
    <comment ref="G49" authorId="0" shapeId="0" xr:uid="{00000000-0006-0000-0300-000023010000}">
      <text>
        <r>
          <rPr>
            <sz val="8"/>
            <color indexed="81"/>
            <rFont val="Tahoma"/>
            <family val="2"/>
          </rPr>
          <t xml:space="preserve">Minimum Height/Drop is 200mm.
Maximum Height/Drop is 3000mm. </t>
        </r>
      </text>
    </comment>
    <comment ref="H49" authorId="0" shapeId="0" xr:uid="{00000000-0006-0000-0300-000024010000}">
      <text>
        <r>
          <rPr>
            <sz val="8"/>
            <color indexed="81"/>
            <rFont val="Tahoma"/>
            <family val="2"/>
          </rPr>
          <t>When selecting a
Corner or Bay 
Window Type, 
the CMB Corner WS or 
CMB Bay WS 
must be completed.</t>
        </r>
      </text>
    </comment>
    <comment ref="J49" authorId="0" shapeId="0" xr:uid="{00000000-0006-0000-0300-000025010000}">
      <text>
        <r>
          <rPr>
            <sz val="8"/>
            <color indexed="81"/>
            <rFont val="Tahoma"/>
            <family val="2"/>
          </rPr>
          <t>ACT 
Actual Measurements
You have made the allowances.
NAM
No Allowances Made 
The factory will make the deductions.</t>
        </r>
      </text>
    </comment>
    <comment ref="O49" authorId="0" shapeId="0" xr:uid="{00000000-0006-0000-0300-000026010000}">
      <text>
        <r>
          <rPr>
            <sz val="8"/>
            <color indexed="81"/>
            <rFont val="Tahoma"/>
            <family val="2"/>
          </rPr>
          <t>Standard is default.
Common Fascia is when the same Fascia used for two Blinds.</t>
        </r>
      </text>
    </comment>
    <comment ref="S49" authorId="0" shapeId="0" xr:uid="{00000000-0006-0000-0300-000027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49" authorId="0" shapeId="0" xr:uid="{00000000-0006-0000-0300-000028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50" authorId="0" shapeId="0" xr:uid="{00000000-0006-0000-0300-000029010000}">
      <text>
        <r>
          <rPr>
            <sz val="8"/>
            <color indexed="81"/>
            <rFont val="Tahoma"/>
            <family val="2"/>
          </rPr>
          <t>Minimum Width is 222mm.
Maximum Width is 3000mm. 
All openings over 3000mm wide will require multiple Blinds.</t>
        </r>
      </text>
    </comment>
    <comment ref="G50" authorId="0" shapeId="0" xr:uid="{00000000-0006-0000-0300-00002A010000}">
      <text>
        <r>
          <rPr>
            <sz val="8"/>
            <color indexed="81"/>
            <rFont val="Tahoma"/>
            <family val="2"/>
          </rPr>
          <t xml:space="preserve">Minimum Height/Drop is 200mm.
Maximum Height/Drop is 3000mm. </t>
        </r>
      </text>
    </comment>
    <comment ref="H50" authorId="0" shapeId="0" xr:uid="{00000000-0006-0000-0300-00002B010000}">
      <text>
        <r>
          <rPr>
            <sz val="8"/>
            <color indexed="81"/>
            <rFont val="Tahoma"/>
            <family val="2"/>
          </rPr>
          <t>When selecting a
Corner or Bay 
Window Type, 
the CMB Corner WS or 
CMB Bay WS 
must be completed.</t>
        </r>
      </text>
    </comment>
    <comment ref="J50" authorId="0" shapeId="0" xr:uid="{00000000-0006-0000-0300-00002C010000}">
      <text>
        <r>
          <rPr>
            <sz val="8"/>
            <color indexed="81"/>
            <rFont val="Tahoma"/>
            <family val="2"/>
          </rPr>
          <t>ACT 
Actual Measurements
You have made the allowances.
NAM
No Allowances Made 
The factory will make the deductions.</t>
        </r>
      </text>
    </comment>
    <comment ref="O50" authorId="0" shapeId="0" xr:uid="{00000000-0006-0000-0300-00002D010000}">
      <text>
        <r>
          <rPr>
            <sz val="8"/>
            <color indexed="81"/>
            <rFont val="Tahoma"/>
            <family val="2"/>
          </rPr>
          <t>Standard is default.
Common Fascia is when the same Fascia used for two Blinds.</t>
        </r>
      </text>
    </comment>
    <comment ref="S50" authorId="0" shapeId="0" xr:uid="{00000000-0006-0000-0300-00002E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50" authorId="0" shapeId="0" xr:uid="{00000000-0006-0000-0300-00002F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51" authorId="0" shapeId="0" xr:uid="{00000000-0006-0000-0300-000030010000}">
      <text>
        <r>
          <rPr>
            <sz val="8"/>
            <color indexed="81"/>
            <rFont val="Tahoma"/>
            <family val="2"/>
          </rPr>
          <t>Minimum Width is 222mm.
Maximum Width is 3000mm. 
All openings over 3000mm wide will require multiple Blinds.</t>
        </r>
      </text>
    </comment>
    <comment ref="G51" authorId="0" shapeId="0" xr:uid="{00000000-0006-0000-0300-000031010000}">
      <text>
        <r>
          <rPr>
            <sz val="8"/>
            <color indexed="81"/>
            <rFont val="Tahoma"/>
            <family val="2"/>
          </rPr>
          <t xml:space="preserve">Minimum Height/Drop is 200mm.
Maximum Height/Drop is 3000mm. </t>
        </r>
      </text>
    </comment>
    <comment ref="H51" authorId="0" shapeId="0" xr:uid="{00000000-0006-0000-0300-000032010000}">
      <text>
        <r>
          <rPr>
            <sz val="8"/>
            <color indexed="81"/>
            <rFont val="Tahoma"/>
            <family val="2"/>
          </rPr>
          <t>When selecting a
Corner or Bay 
Window Type, 
the CMB Corner WS or 
CMB Bay WS 
must be completed.</t>
        </r>
      </text>
    </comment>
    <comment ref="J51" authorId="0" shapeId="0" xr:uid="{00000000-0006-0000-0300-000033010000}">
      <text>
        <r>
          <rPr>
            <sz val="8"/>
            <color indexed="81"/>
            <rFont val="Tahoma"/>
            <family val="2"/>
          </rPr>
          <t>ACT 
Actual Measurements
You have made the allowances.
NAM
No Allowances Made 
The factory will make the deductions.</t>
        </r>
      </text>
    </comment>
    <comment ref="O51" authorId="0" shapeId="0" xr:uid="{00000000-0006-0000-0300-000034010000}">
      <text>
        <r>
          <rPr>
            <sz val="8"/>
            <color indexed="81"/>
            <rFont val="Tahoma"/>
            <family val="2"/>
          </rPr>
          <t>Standard is default.
Common Fascia is when the same Fascia used for two Blinds.</t>
        </r>
      </text>
    </comment>
    <comment ref="S51" authorId="0" shapeId="0" xr:uid="{00000000-0006-0000-0300-000035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51" authorId="0" shapeId="0" xr:uid="{00000000-0006-0000-0300-000036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52" authorId="0" shapeId="0" xr:uid="{00000000-0006-0000-0300-000037010000}">
      <text>
        <r>
          <rPr>
            <sz val="8"/>
            <color indexed="81"/>
            <rFont val="Tahoma"/>
            <family val="2"/>
          </rPr>
          <t>Minimum Width is 222mm.
Maximum Width is 3000mm. 
All openings over 3000mm wide will require multiple Blinds.</t>
        </r>
      </text>
    </comment>
    <comment ref="G52" authorId="0" shapeId="0" xr:uid="{00000000-0006-0000-0300-000038010000}">
      <text>
        <r>
          <rPr>
            <sz val="8"/>
            <color indexed="81"/>
            <rFont val="Tahoma"/>
            <family val="2"/>
          </rPr>
          <t xml:space="preserve">Minimum Height/Drop is 200mm.
Maximum Height/Drop is 3000mm. </t>
        </r>
      </text>
    </comment>
    <comment ref="H52" authorId="0" shapeId="0" xr:uid="{00000000-0006-0000-0300-000039010000}">
      <text>
        <r>
          <rPr>
            <sz val="8"/>
            <color indexed="81"/>
            <rFont val="Tahoma"/>
            <family val="2"/>
          </rPr>
          <t>When selecting a
Corner or Bay 
Window Type, 
the CMB Corner WS or 
CMB Bay WS 
must be completed.</t>
        </r>
      </text>
    </comment>
    <comment ref="J52" authorId="0" shapeId="0" xr:uid="{00000000-0006-0000-0300-00003A010000}">
      <text>
        <r>
          <rPr>
            <sz val="8"/>
            <color indexed="81"/>
            <rFont val="Tahoma"/>
            <family val="2"/>
          </rPr>
          <t>ACT 
Actual Measurements
You have made the allowances.
NAM
No Allowances Made 
The factory will make the deductions.</t>
        </r>
      </text>
    </comment>
    <comment ref="O52" authorId="0" shapeId="0" xr:uid="{00000000-0006-0000-0300-00003B010000}">
      <text>
        <r>
          <rPr>
            <sz val="8"/>
            <color indexed="81"/>
            <rFont val="Tahoma"/>
            <family val="2"/>
          </rPr>
          <t>Standard is default.
Common Fascia is when the same Fascia used for two Blinds.</t>
        </r>
      </text>
    </comment>
    <comment ref="S52" authorId="0" shapeId="0" xr:uid="{00000000-0006-0000-0300-00003C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52" authorId="0" shapeId="0" xr:uid="{00000000-0006-0000-0300-00003D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53" authorId="0" shapeId="0" xr:uid="{00000000-0006-0000-0300-00003E010000}">
      <text>
        <r>
          <rPr>
            <sz val="8"/>
            <color indexed="81"/>
            <rFont val="Tahoma"/>
            <family val="2"/>
          </rPr>
          <t>Minimum Width is 222mm.
Maximum Width is 3000mm. 
All openings over 3000mm wide will require multiple Blinds.</t>
        </r>
      </text>
    </comment>
    <comment ref="G53" authorId="0" shapeId="0" xr:uid="{00000000-0006-0000-0300-00003F010000}">
      <text>
        <r>
          <rPr>
            <sz val="8"/>
            <color indexed="81"/>
            <rFont val="Tahoma"/>
            <family val="2"/>
          </rPr>
          <t xml:space="preserve">Minimum Height/Drop is 200mm.
Maximum Height/Drop is 3000mm. </t>
        </r>
      </text>
    </comment>
    <comment ref="H53" authorId="0" shapeId="0" xr:uid="{00000000-0006-0000-0300-000040010000}">
      <text>
        <r>
          <rPr>
            <sz val="8"/>
            <color indexed="81"/>
            <rFont val="Tahoma"/>
            <family val="2"/>
          </rPr>
          <t>When selecting a
Corner or Bay 
Window Type, 
the CMB Corner WS or 
CMB Bay WS 
must be completed.</t>
        </r>
      </text>
    </comment>
    <comment ref="J53" authorId="0" shapeId="0" xr:uid="{00000000-0006-0000-0300-000041010000}">
      <text>
        <r>
          <rPr>
            <sz val="8"/>
            <color indexed="81"/>
            <rFont val="Tahoma"/>
            <family val="2"/>
          </rPr>
          <t>ACT 
Actual Measurements
You have made the allowances.
NAM
No Allowances Made 
The factory will make the deductions.</t>
        </r>
      </text>
    </comment>
    <comment ref="O53" authorId="0" shapeId="0" xr:uid="{00000000-0006-0000-0300-000042010000}">
      <text>
        <r>
          <rPr>
            <sz val="8"/>
            <color indexed="81"/>
            <rFont val="Tahoma"/>
            <family val="2"/>
          </rPr>
          <t>Standard is default.
Common Fascia is when the same Fascia used for two Blinds.</t>
        </r>
      </text>
    </comment>
    <comment ref="S53" authorId="0" shapeId="0" xr:uid="{00000000-0006-0000-0300-000043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53" authorId="0" shapeId="0" xr:uid="{00000000-0006-0000-0300-000044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54" authorId="0" shapeId="0" xr:uid="{00000000-0006-0000-0300-000045010000}">
      <text>
        <r>
          <rPr>
            <sz val="8"/>
            <color indexed="81"/>
            <rFont val="Tahoma"/>
            <family val="2"/>
          </rPr>
          <t>Minimum Width is 222mm.
Maximum Width is 3000mm. 
All openings over 3000mm wide will require multiple Blinds.</t>
        </r>
      </text>
    </comment>
    <comment ref="G54" authorId="0" shapeId="0" xr:uid="{00000000-0006-0000-0300-000046010000}">
      <text>
        <r>
          <rPr>
            <sz val="8"/>
            <color indexed="81"/>
            <rFont val="Tahoma"/>
            <family val="2"/>
          </rPr>
          <t xml:space="preserve">Minimum Height/Drop is 200mm.
Maximum Height/Drop is 3000mm. </t>
        </r>
      </text>
    </comment>
    <comment ref="H54" authorId="0" shapeId="0" xr:uid="{00000000-0006-0000-0300-000047010000}">
      <text>
        <r>
          <rPr>
            <sz val="8"/>
            <color indexed="81"/>
            <rFont val="Tahoma"/>
            <family val="2"/>
          </rPr>
          <t>When selecting a
Corner or Bay 
Window Type, 
the CMB Corner WS or 
CMB Bay WS 
must be completed.</t>
        </r>
      </text>
    </comment>
    <comment ref="J54" authorId="0" shapeId="0" xr:uid="{00000000-0006-0000-0300-000048010000}">
      <text>
        <r>
          <rPr>
            <sz val="8"/>
            <color indexed="81"/>
            <rFont val="Tahoma"/>
            <family val="2"/>
          </rPr>
          <t>ACT 
Actual Measurements
You have made the allowances.
NAM
No Allowances Made 
The factory will make the deductions.</t>
        </r>
      </text>
    </comment>
    <comment ref="O54" authorId="0" shapeId="0" xr:uid="{00000000-0006-0000-0300-000049010000}">
      <text>
        <r>
          <rPr>
            <sz val="8"/>
            <color indexed="81"/>
            <rFont val="Tahoma"/>
            <family val="2"/>
          </rPr>
          <t>Standard is default.
Common Fascia is when the same Fascia used for two Blinds.</t>
        </r>
      </text>
    </comment>
    <comment ref="S54" authorId="0" shapeId="0" xr:uid="{00000000-0006-0000-0300-00004A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54" authorId="0" shapeId="0" xr:uid="{00000000-0006-0000-0300-00004B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55" authorId="0" shapeId="0" xr:uid="{00000000-0006-0000-0300-00004C010000}">
      <text>
        <r>
          <rPr>
            <sz val="8"/>
            <color indexed="81"/>
            <rFont val="Tahoma"/>
            <family val="2"/>
          </rPr>
          <t>Minimum Width is 222mm.
Maximum Width is 3000mm. 
All openings over 3000mm wide will require multiple Blinds.</t>
        </r>
      </text>
    </comment>
    <comment ref="G55" authorId="0" shapeId="0" xr:uid="{00000000-0006-0000-0300-00004D010000}">
      <text>
        <r>
          <rPr>
            <sz val="8"/>
            <color indexed="81"/>
            <rFont val="Tahoma"/>
            <family val="2"/>
          </rPr>
          <t xml:space="preserve">Minimum Height/Drop is 200mm.
Maximum Height/Drop is 3000mm. </t>
        </r>
      </text>
    </comment>
    <comment ref="H55" authorId="0" shapeId="0" xr:uid="{00000000-0006-0000-0300-00004E010000}">
      <text>
        <r>
          <rPr>
            <sz val="8"/>
            <color indexed="81"/>
            <rFont val="Tahoma"/>
            <family val="2"/>
          </rPr>
          <t>When selecting a
Corner or Bay 
Window Type, 
the CMB Corner WS or 
CMB Bay WS 
must be completed.</t>
        </r>
      </text>
    </comment>
    <comment ref="J55" authorId="0" shapeId="0" xr:uid="{00000000-0006-0000-0300-00004F010000}">
      <text>
        <r>
          <rPr>
            <sz val="8"/>
            <color indexed="81"/>
            <rFont val="Tahoma"/>
            <family val="2"/>
          </rPr>
          <t>ACT 
Actual Measurements
You have made the allowances.
NAM
No Allowances Made 
The factory will make the deductions.</t>
        </r>
      </text>
    </comment>
    <comment ref="O55" authorId="0" shapeId="0" xr:uid="{00000000-0006-0000-0300-000050010000}">
      <text>
        <r>
          <rPr>
            <sz val="8"/>
            <color indexed="81"/>
            <rFont val="Tahoma"/>
            <family val="2"/>
          </rPr>
          <t>Standard is default.
Common Fascia is when the same Fascia used for two Blinds.</t>
        </r>
      </text>
    </comment>
    <comment ref="S55" authorId="0" shapeId="0" xr:uid="{00000000-0006-0000-0300-000051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55" authorId="0" shapeId="0" xr:uid="{00000000-0006-0000-0300-000052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56" authorId="0" shapeId="0" xr:uid="{00000000-0006-0000-0300-000053010000}">
      <text>
        <r>
          <rPr>
            <sz val="8"/>
            <color indexed="81"/>
            <rFont val="Tahoma"/>
            <family val="2"/>
          </rPr>
          <t>Minimum Width is 222mm.
Maximum Width is 3000mm. 
All openings over 3000mm wide will require multiple Blinds.</t>
        </r>
      </text>
    </comment>
    <comment ref="G56" authorId="0" shapeId="0" xr:uid="{00000000-0006-0000-0300-000054010000}">
      <text>
        <r>
          <rPr>
            <sz val="8"/>
            <color indexed="81"/>
            <rFont val="Tahoma"/>
            <family val="2"/>
          </rPr>
          <t xml:space="preserve">Minimum Height/Drop is 200mm.
Maximum Height/Drop is 3000mm. </t>
        </r>
      </text>
    </comment>
    <comment ref="H56" authorId="0" shapeId="0" xr:uid="{00000000-0006-0000-0300-000055010000}">
      <text>
        <r>
          <rPr>
            <sz val="8"/>
            <color indexed="81"/>
            <rFont val="Tahoma"/>
            <family val="2"/>
          </rPr>
          <t>When selecting a
Corner or Bay 
Window Type, 
the CMB Corner WS or 
CMB Bay WS 
must be completed.</t>
        </r>
      </text>
    </comment>
    <comment ref="J56" authorId="0" shapeId="0" xr:uid="{00000000-0006-0000-0300-000056010000}">
      <text>
        <r>
          <rPr>
            <sz val="8"/>
            <color indexed="81"/>
            <rFont val="Tahoma"/>
            <family val="2"/>
          </rPr>
          <t>ACT 
Actual Measurements
You have made the allowances.
NAM
No Allowances Made 
The factory will make the deductions.</t>
        </r>
      </text>
    </comment>
    <comment ref="O56" authorId="0" shapeId="0" xr:uid="{00000000-0006-0000-0300-000057010000}">
      <text>
        <r>
          <rPr>
            <sz val="8"/>
            <color indexed="81"/>
            <rFont val="Tahoma"/>
            <family val="2"/>
          </rPr>
          <t>Standard is default.
Common Fascia is when the same Fascia used for two Blinds.</t>
        </r>
      </text>
    </comment>
    <comment ref="S56" authorId="0" shapeId="0" xr:uid="{00000000-0006-0000-0300-000058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56" authorId="0" shapeId="0" xr:uid="{00000000-0006-0000-0300-000059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F57" authorId="0" shapeId="0" xr:uid="{00000000-0006-0000-0300-00005A010000}">
      <text>
        <r>
          <rPr>
            <sz val="8"/>
            <color indexed="81"/>
            <rFont val="Tahoma"/>
            <family val="2"/>
          </rPr>
          <t>Minimum Width is 222mm.
Maximum Width is 3000mm. 
All openings over 3000mm wide will require multiple Blinds.</t>
        </r>
      </text>
    </comment>
    <comment ref="G57" authorId="0" shapeId="0" xr:uid="{00000000-0006-0000-0300-00005B010000}">
      <text>
        <r>
          <rPr>
            <sz val="8"/>
            <color indexed="81"/>
            <rFont val="Tahoma"/>
            <family val="2"/>
          </rPr>
          <t xml:space="preserve">Minimum Height/Drop is 200mm.
Maximum Height/Drop is 3000mm. </t>
        </r>
      </text>
    </comment>
    <comment ref="H57" authorId="0" shapeId="0" xr:uid="{00000000-0006-0000-0300-00005C010000}">
      <text>
        <r>
          <rPr>
            <sz val="8"/>
            <color indexed="81"/>
            <rFont val="Tahoma"/>
            <family val="2"/>
          </rPr>
          <t>When selecting a
Corner or Bay 
Window Type, 
the CMB Corner WS or 
CMB Bay WS 
must be completed.</t>
        </r>
      </text>
    </comment>
    <comment ref="J57" authorId="0" shapeId="0" xr:uid="{00000000-0006-0000-0300-00005D010000}">
      <text>
        <r>
          <rPr>
            <sz val="8"/>
            <color indexed="81"/>
            <rFont val="Tahoma"/>
            <family val="2"/>
          </rPr>
          <t>ACT 
Actual Measurements
You have made the allowances.
NAM
No Allowances Made 
The factory will make the deductions.</t>
        </r>
      </text>
    </comment>
    <comment ref="O57" authorId="0" shapeId="0" xr:uid="{00000000-0006-0000-0300-00005E010000}">
      <text>
        <r>
          <rPr>
            <sz val="8"/>
            <color indexed="81"/>
            <rFont val="Tahoma"/>
            <family val="2"/>
          </rPr>
          <t>Standard is default.
Common Fascia is when the same Fascia used for two Blinds.</t>
        </r>
      </text>
    </comment>
    <comment ref="S57" authorId="0" shapeId="0" xr:uid="{00000000-0006-0000-0300-00005F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 ref="U57" authorId="0" shapeId="0" xr:uid="{00000000-0006-0000-0300-000060010000}">
      <text>
        <r>
          <rPr>
            <sz val="8"/>
            <color indexed="81"/>
            <rFont val="Tahoma"/>
            <family val="2"/>
          </rPr>
          <t>Blind Width          Maximum Cut Out Width
For 50mm/63mm PS/PS Privacy
222 - 254mm       50mm
255 - 379mm       75mm
  &gt; 380mm             130mm
For 50mm Timber/Jarrah
222 - 254mm       50mm
255 - 379mm       75mm
380 - 454mm       130mm
  &gt; 455mm             140mm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D7" authorId="0" shapeId="0" xr:uid="{00000000-0006-0000-0400-000001000000}">
      <text>
        <r>
          <rPr>
            <sz val="8"/>
            <color indexed="81"/>
            <rFont val="Tahoma"/>
            <family val="2"/>
          </rPr>
          <t>Products options are;
London
Maui
Paris
Sunscreen</t>
        </r>
      </text>
    </comment>
    <comment ref="E7" authorId="0" shapeId="0" xr:uid="{00000000-0006-0000-0400-000002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7" authorId="0" shapeId="0" xr:uid="{00000000-0006-0000-0400-000003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7" authorId="0" shapeId="0" xr:uid="{00000000-0006-0000-0400-000004000000}">
      <text>
        <r>
          <rPr>
            <sz val="8"/>
            <color indexed="81"/>
            <rFont val="Tahoma"/>
            <family val="2"/>
          </rPr>
          <t xml:space="preserve">Minimum Height/Drop is 300mm.
Maximum Height/Drop is 3000mm. </t>
        </r>
      </text>
    </comment>
    <comment ref="H7" authorId="0" shapeId="0" xr:uid="{00000000-0006-0000-0400-000005000000}">
      <text>
        <r>
          <rPr>
            <sz val="8"/>
            <color indexed="81"/>
            <rFont val="Tahoma"/>
            <family val="2"/>
          </rPr>
          <t>When selecting a
Corner or Bay 
Window Type, 
the 
CMB Corner WS 
or 
CMB Bay WS 
must be completed.</t>
        </r>
      </text>
    </comment>
    <comment ref="J7" authorId="0" shapeId="0" xr:uid="{00000000-0006-0000-0400-000006000000}">
      <text>
        <r>
          <rPr>
            <sz val="8"/>
            <color indexed="81"/>
            <rFont val="Tahoma"/>
            <family val="2"/>
          </rPr>
          <t>ACT 
Actual Measurements
You have made the allowances.
NAM
No Allowances Made 
The factory will make the deductions.</t>
        </r>
      </text>
    </comment>
    <comment ref="M7" authorId="0" shapeId="0" xr:uid="{00000000-0006-0000-0400-000007000000}">
      <text>
        <r>
          <rPr>
            <sz val="8"/>
            <color indexed="81"/>
            <rFont val="Tahoma"/>
            <family val="2"/>
          </rPr>
          <t xml:space="preserve">
Bottom Rail Colour options;
Clear Anodised
Metallic Black
Mocha
White
White Birch</t>
        </r>
      </text>
    </comment>
    <comment ref="O7" authorId="0" shapeId="0" xr:uid="{00000000-0006-0000-0400-000008000000}">
      <text>
        <r>
          <rPr>
            <sz val="8"/>
            <color indexed="81"/>
            <rFont val="Tahoma"/>
            <family val="2"/>
          </rPr>
          <t>Control Options are;
Left
Right
When Bracket Type is Link Together, 
Left or Right can only be selected once per Linked Set.</t>
        </r>
      </text>
    </comment>
    <comment ref="Q7" authorId="0" shapeId="0" xr:uid="{00000000-0006-0000-0400-000009000000}">
      <text>
        <r>
          <rPr>
            <sz val="8"/>
            <color indexed="81"/>
            <rFont val="Tahoma"/>
            <family val="2"/>
          </rPr>
          <t>Chain Length options are; 
Default
500mm
750mm
1000mm
1250mm
1500mm
2000mm</t>
        </r>
      </text>
    </comment>
    <comment ref="R7" authorId="0" shapeId="0" xr:uid="{00000000-0006-0000-0400-00000A000000}">
      <text>
        <r>
          <rPr>
            <sz val="8"/>
            <color indexed="81"/>
            <rFont val="Tahoma"/>
            <family val="2"/>
          </rPr>
          <t>Chain Colour options are; 
White
White Birch
Black
Nickel Plated Brass
Stainless Steel</t>
        </r>
      </text>
    </comment>
    <comment ref="S7" authorId="0" shapeId="0" xr:uid="{00000000-0006-0000-0400-00000B000000}">
      <text>
        <r>
          <rPr>
            <sz val="8"/>
            <color indexed="81"/>
            <rFont val="Tahoma"/>
            <family val="2"/>
          </rPr>
          <t>When
 Standard or Common 
is selected the 
Pelmet Colour 
must be entered.</t>
        </r>
      </text>
    </comment>
    <comment ref="W7" authorId="0" shapeId="0" xr:uid="{00000000-0006-0000-0400-00000C000000}">
      <text>
        <r>
          <rPr>
            <sz val="8"/>
            <color indexed="81"/>
            <rFont val="Tahoma"/>
            <family val="2"/>
          </rPr>
          <t>Bracket Options include:
All other options;
Standard
Double
Link
Double Link</t>
        </r>
      </text>
    </comment>
    <comment ref="X7" authorId="0" shapeId="0" xr:uid="{00000000-0006-0000-0400-00000D000000}">
      <text>
        <r>
          <rPr>
            <sz val="8"/>
            <color indexed="81"/>
            <rFont val="Tahoma"/>
            <family val="2"/>
          </rPr>
          <t>If you want the Bracket option types 
and Tube size matched for continuity, 
then please specify which lines you 
want to match in the 
Special Comments section.</t>
        </r>
      </text>
    </comment>
    <comment ref="Z7" authorId="0" shapeId="0" xr:uid="{00000000-0006-0000-0400-00000E000000}">
      <text>
        <r>
          <rPr>
            <sz val="8"/>
            <color indexed="81"/>
            <rFont val="Tahoma"/>
            <family val="2"/>
          </rPr>
          <t>Please use this section 
to specify 
any Special Requirements
for the Line/Order.</t>
        </r>
      </text>
    </comment>
    <comment ref="D8" authorId="0" shapeId="0" xr:uid="{00000000-0006-0000-0400-00000F000000}">
      <text>
        <r>
          <rPr>
            <sz val="8"/>
            <color indexed="81"/>
            <rFont val="Tahoma"/>
            <family val="2"/>
          </rPr>
          <t>Products options are;
London
Maui
Paris
Sunscreen</t>
        </r>
      </text>
    </comment>
    <comment ref="E8" authorId="0" shapeId="0" xr:uid="{00000000-0006-0000-0400-000010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8" authorId="0" shapeId="0" xr:uid="{00000000-0006-0000-0400-000011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8" authorId="0" shapeId="0" xr:uid="{00000000-0006-0000-0400-000012000000}">
      <text>
        <r>
          <rPr>
            <sz val="8"/>
            <color indexed="81"/>
            <rFont val="Tahoma"/>
            <family val="2"/>
          </rPr>
          <t xml:space="preserve">Minimum Height/Drop is 300mm.
Maximum Height/Drop is 3000mm. </t>
        </r>
      </text>
    </comment>
    <comment ref="H8" authorId="0" shapeId="0" xr:uid="{00000000-0006-0000-0400-000013000000}">
      <text>
        <r>
          <rPr>
            <sz val="8"/>
            <color indexed="81"/>
            <rFont val="Tahoma"/>
            <family val="2"/>
          </rPr>
          <t>When selecting a
Corner or Bay 
Window Type, 
the 
CMB Corner WS 
or 
CMB Bay WS 
must be completed.</t>
        </r>
      </text>
    </comment>
    <comment ref="J8" authorId="0" shapeId="0" xr:uid="{00000000-0006-0000-0400-000014000000}">
      <text>
        <r>
          <rPr>
            <sz val="8"/>
            <color indexed="81"/>
            <rFont val="Tahoma"/>
            <family val="2"/>
          </rPr>
          <t>ACT 
Actual Measurements
You have made the allowances.
NAM
No Allowances Made 
The factory will make the deductions.</t>
        </r>
      </text>
    </comment>
    <comment ref="M8" authorId="0" shapeId="0" xr:uid="{00000000-0006-0000-0400-000015000000}">
      <text>
        <r>
          <rPr>
            <sz val="8"/>
            <color indexed="81"/>
            <rFont val="Tahoma"/>
            <family val="2"/>
          </rPr>
          <t xml:space="preserve">
Bottom Rail Colour options;
Clear Anodised
Metallic Black
Mocha
White
White Birch</t>
        </r>
      </text>
    </comment>
    <comment ref="O8" authorId="0" shapeId="0" xr:uid="{00000000-0006-0000-0400-000016000000}">
      <text>
        <r>
          <rPr>
            <sz val="8"/>
            <color indexed="81"/>
            <rFont val="Tahoma"/>
            <family val="2"/>
          </rPr>
          <t>Control Options are;
Left
Right
When Bracket Type is Link Together, 
Left or Right can only be selected once per Linked Set.</t>
        </r>
      </text>
    </comment>
    <comment ref="Q8" authorId="0" shapeId="0" xr:uid="{00000000-0006-0000-0400-000017000000}">
      <text>
        <r>
          <rPr>
            <sz val="8"/>
            <color indexed="81"/>
            <rFont val="Tahoma"/>
            <family val="2"/>
          </rPr>
          <t>Chain Length options are; 
Default
500mm
750mm
1000mm
1250mm
1500mm
2000mm</t>
        </r>
      </text>
    </comment>
    <comment ref="R8" authorId="0" shapeId="0" xr:uid="{00000000-0006-0000-0400-000018000000}">
      <text>
        <r>
          <rPr>
            <sz val="8"/>
            <color indexed="81"/>
            <rFont val="Tahoma"/>
            <family val="2"/>
          </rPr>
          <t>Chain Colour options are; 
White
White Birch
Black
Nickel Plated Brass
Stainless Steel</t>
        </r>
      </text>
    </comment>
    <comment ref="S8" authorId="0" shapeId="0" xr:uid="{00000000-0006-0000-0400-000019000000}">
      <text>
        <r>
          <rPr>
            <sz val="8"/>
            <color indexed="81"/>
            <rFont val="Tahoma"/>
            <family val="2"/>
          </rPr>
          <t>When
 Standard or Common 
is selected the 
Pelmet Colour 
must be entered.</t>
        </r>
      </text>
    </comment>
    <comment ref="W8" authorId="0" shapeId="0" xr:uid="{00000000-0006-0000-0400-00001A000000}">
      <text>
        <r>
          <rPr>
            <sz val="8"/>
            <color indexed="81"/>
            <rFont val="Tahoma"/>
            <family val="2"/>
          </rPr>
          <t>Bracket Options include:
All other options;
Standard
Double
Link
Double Link</t>
        </r>
      </text>
    </comment>
    <comment ref="X8" authorId="0" shapeId="0" xr:uid="{00000000-0006-0000-0400-00001B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9" authorId="0" shapeId="0" xr:uid="{00000000-0006-0000-0400-00001C000000}">
      <text>
        <r>
          <rPr>
            <sz val="8"/>
            <color indexed="81"/>
            <rFont val="Tahoma"/>
            <family val="2"/>
          </rPr>
          <t>Products options are;
London
Maui
Paris
Sunscreen</t>
        </r>
      </text>
    </comment>
    <comment ref="E9" authorId="0" shapeId="0" xr:uid="{00000000-0006-0000-0400-00001D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9" authorId="0" shapeId="0" xr:uid="{00000000-0006-0000-0400-00001E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9" authorId="0" shapeId="0" xr:uid="{00000000-0006-0000-0400-00001F000000}">
      <text>
        <r>
          <rPr>
            <sz val="8"/>
            <color indexed="81"/>
            <rFont val="Tahoma"/>
            <family val="2"/>
          </rPr>
          <t xml:space="preserve">Minimum Height/Drop is 300mm.
Maximum Height/Drop is 3000mm. </t>
        </r>
      </text>
    </comment>
    <comment ref="H9" authorId="0" shapeId="0" xr:uid="{00000000-0006-0000-0400-000020000000}">
      <text>
        <r>
          <rPr>
            <sz val="8"/>
            <color indexed="81"/>
            <rFont val="Tahoma"/>
            <family val="2"/>
          </rPr>
          <t>When selecting a
Corner or Bay 
Window Type, 
the 
CMB Corner WS 
or 
CMB Bay WS 
must be completed.</t>
        </r>
      </text>
    </comment>
    <comment ref="J9" authorId="0" shapeId="0" xr:uid="{00000000-0006-0000-0400-000021000000}">
      <text>
        <r>
          <rPr>
            <sz val="8"/>
            <color indexed="81"/>
            <rFont val="Tahoma"/>
            <family val="2"/>
          </rPr>
          <t>ACT 
Actual Measurements
You have made the allowances.
NAM
No Allowances Made 
The factory will make the deductions.</t>
        </r>
      </text>
    </comment>
    <comment ref="M9" authorId="0" shapeId="0" xr:uid="{00000000-0006-0000-0400-000022000000}">
      <text>
        <r>
          <rPr>
            <sz val="8"/>
            <color indexed="81"/>
            <rFont val="Tahoma"/>
            <family val="2"/>
          </rPr>
          <t xml:space="preserve">
Bottom Rail Colour options;
Clear Anodised
Metallic Black
Mocha
White
White Birch</t>
        </r>
      </text>
    </comment>
    <comment ref="O9" authorId="0" shapeId="0" xr:uid="{00000000-0006-0000-0400-000023000000}">
      <text>
        <r>
          <rPr>
            <sz val="8"/>
            <color indexed="81"/>
            <rFont val="Tahoma"/>
            <family val="2"/>
          </rPr>
          <t>Control Options are;
Left
Right
When Bracket Type is Link Together, 
Left or Right can only be selected once per Linked Set.</t>
        </r>
      </text>
    </comment>
    <comment ref="Q9" authorId="0" shapeId="0" xr:uid="{00000000-0006-0000-0400-000024000000}">
      <text>
        <r>
          <rPr>
            <sz val="8"/>
            <color indexed="81"/>
            <rFont val="Tahoma"/>
            <family val="2"/>
          </rPr>
          <t>Chain Length options are; 
Default
500mm
750mm
1000mm
1250mm
1500mm
2000mm</t>
        </r>
      </text>
    </comment>
    <comment ref="R9" authorId="0" shapeId="0" xr:uid="{00000000-0006-0000-0400-000025000000}">
      <text>
        <r>
          <rPr>
            <sz val="8"/>
            <color indexed="81"/>
            <rFont val="Tahoma"/>
            <family val="2"/>
          </rPr>
          <t>Chain Colour options are; 
White
White Birch
Black
Nickel Plated Brass
Stainless Steel</t>
        </r>
      </text>
    </comment>
    <comment ref="S9" authorId="0" shapeId="0" xr:uid="{00000000-0006-0000-0400-000026000000}">
      <text>
        <r>
          <rPr>
            <sz val="8"/>
            <color indexed="81"/>
            <rFont val="Tahoma"/>
            <family val="2"/>
          </rPr>
          <t>When
 Standard or Common 
is selected the 
Pelmet Colour 
must be entered.</t>
        </r>
      </text>
    </comment>
    <comment ref="W9" authorId="0" shapeId="0" xr:uid="{00000000-0006-0000-0400-000027000000}">
      <text>
        <r>
          <rPr>
            <sz val="8"/>
            <color indexed="81"/>
            <rFont val="Tahoma"/>
            <family val="2"/>
          </rPr>
          <t>Bracket Options include:
All other options;
Standard
Double
Link
Double Link</t>
        </r>
      </text>
    </comment>
    <comment ref="X9" authorId="0" shapeId="0" xr:uid="{00000000-0006-0000-0400-000028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10" authorId="0" shapeId="0" xr:uid="{00000000-0006-0000-0400-000029000000}">
      <text>
        <r>
          <rPr>
            <sz val="8"/>
            <color indexed="81"/>
            <rFont val="Tahoma"/>
            <family val="2"/>
          </rPr>
          <t>Products options are;
London
Maui
Paris
Sunscreen</t>
        </r>
      </text>
    </comment>
    <comment ref="E10" authorId="0" shapeId="0" xr:uid="{00000000-0006-0000-0400-00002A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10" authorId="0" shapeId="0" xr:uid="{00000000-0006-0000-0400-00002B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0" authorId="0" shapeId="0" xr:uid="{00000000-0006-0000-0400-00002C000000}">
      <text>
        <r>
          <rPr>
            <sz val="8"/>
            <color indexed="81"/>
            <rFont val="Tahoma"/>
            <family val="2"/>
          </rPr>
          <t xml:space="preserve">Minimum Height/Drop is 300mm.
Maximum Height/Drop is 3000mm. </t>
        </r>
      </text>
    </comment>
    <comment ref="H10" authorId="0" shapeId="0" xr:uid="{00000000-0006-0000-0400-00002D000000}">
      <text>
        <r>
          <rPr>
            <sz val="8"/>
            <color indexed="81"/>
            <rFont val="Tahoma"/>
            <family val="2"/>
          </rPr>
          <t>When selecting a
Corner or Bay 
Window Type, 
the 
CMB Corner WS 
or 
CMB Bay WS 
must be completed.</t>
        </r>
      </text>
    </comment>
    <comment ref="J10" authorId="0" shapeId="0" xr:uid="{00000000-0006-0000-0400-00002E000000}">
      <text>
        <r>
          <rPr>
            <sz val="8"/>
            <color indexed="81"/>
            <rFont val="Tahoma"/>
            <family val="2"/>
          </rPr>
          <t>ACT 
Actual Measurements
You have made the allowances.
NAM
No Allowances Made 
The factory will make the deductions.</t>
        </r>
      </text>
    </comment>
    <comment ref="M10" authorId="0" shapeId="0" xr:uid="{00000000-0006-0000-0400-00002F000000}">
      <text>
        <r>
          <rPr>
            <sz val="8"/>
            <color indexed="81"/>
            <rFont val="Tahoma"/>
            <family val="2"/>
          </rPr>
          <t xml:space="preserve">
Bottom Rail Colour options;
Clear Anodised
Metallic Black
Mocha
White
White Birch</t>
        </r>
      </text>
    </comment>
    <comment ref="O10" authorId="0" shapeId="0" xr:uid="{00000000-0006-0000-0400-000030000000}">
      <text>
        <r>
          <rPr>
            <sz val="8"/>
            <color indexed="81"/>
            <rFont val="Tahoma"/>
            <family val="2"/>
          </rPr>
          <t>Control Options are;
Left
Right
When Bracket Type is Link Together, 
Left or Right can only be selected once per Linked Set.</t>
        </r>
      </text>
    </comment>
    <comment ref="Q10" authorId="0" shapeId="0" xr:uid="{00000000-0006-0000-0400-000031000000}">
      <text>
        <r>
          <rPr>
            <sz val="8"/>
            <color indexed="81"/>
            <rFont val="Tahoma"/>
            <family val="2"/>
          </rPr>
          <t>Chain Length options are; 
Default
500mm
750mm
1000mm
1250mm
1500mm
2000mm</t>
        </r>
      </text>
    </comment>
    <comment ref="R10" authorId="0" shapeId="0" xr:uid="{00000000-0006-0000-0400-000032000000}">
      <text>
        <r>
          <rPr>
            <sz val="8"/>
            <color indexed="81"/>
            <rFont val="Tahoma"/>
            <family val="2"/>
          </rPr>
          <t>Chain Colour options are; 
White
White Birch
Black
Nickel Plated Brass
Stainless Steel</t>
        </r>
      </text>
    </comment>
    <comment ref="S10" authorId="0" shapeId="0" xr:uid="{00000000-0006-0000-0400-000033000000}">
      <text>
        <r>
          <rPr>
            <sz val="8"/>
            <color indexed="81"/>
            <rFont val="Tahoma"/>
            <family val="2"/>
          </rPr>
          <t>When
 Standard or Common 
is selected the 
Pelmet Colour 
must be entered.</t>
        </r>
      </text>
    </comment>
    <comment ref="W10" authorId="0" shapeId="0" xr:uid="{00000000-0006-0000-0400-000034000000}">
      <text>
        <r>
          <rPr>
            <sz val="8"/>
            <color indexed="81"/>
            <rFont val="Tahoma"/>
            <family val="2"/>
          </rPr>
          <t>Bracket Options include:
All other options;
Standard
Double
Link
Double Link</t>
        </r>
      </text>
    </comment>
    <comment ref="X10" authorId="0" shapeId="0" xr:uid="{00000000-0006-0000-0400-000035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11" authorId="0" shapeId="0" xr:uid="{00000000-0006-0000-0400-000036000000}">
      <text>
        <r>
          <rPr>
            <sz val="8"/>
            <color indexed="81"/>
            <rFont val="Tahoma"/>
            <family val="2"/>
          </rPr>
          <t>Products options are;
London
Maui
Paris
Sunscreen</t>
        </r>
      </text>
    </comment>
    <comment ref="E11" authorId="0" shapeId="0" xr:uid="{00000000-0006-0000-0400-000037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11" authorId="0" shapeId="0" xr:uid="{00000000-0006-0000-0400-000038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1" authorId="0" shapeId="0" xr:uid="{00000000-0006-0000-0400-000039000000}">
      <text>
        <r>
          <rPr>
            <sz val="8"/>
            <color indexed="81"/>
            <rFont val="Tahoma"/>
            <family val="2"/>
          </rPr>
          <t xml:space="preserve">Minimum Height/Drop is 300mm.
Maximum Height/Drop is 3000mm. </t>
        </r>
      </text>
    </comment>
    <comment ref="H11" authorId="0" shapeId="0" xr:uid="{00000000-0006-0000-0400-00003A000000}">
      <text>
        <r>
          <rPr>
            <sz val="8"/>
            <color indexed="81"/>
            <rFont val="Tahoma"/>
            <family val="2"/>
          </rPr>
          <t>When selecting a
Corner or Bay 
Window Type, 
the 
CMB Corner WS 
or 
CMB Bay WS 
must be completed.</t>
        </r>
      </text>
    </comment>
    <comment ref="J11" authorId="0" shapeId="0" xr:uid="{00000000-0006-0000-0400-00003B000000}">
      <text>
        <r>
          <rPr>
            <sz val="8"/>
            <color indexed="81"/>
            <rFont val="Tahoma"/>
            <family val="2"/>
          </rPr>
          <t>ACT 
Actual Measurements
You have made the allowances.
NAM
No Allowances Made 
The factory will make the deductions.</t>
        </r>
      </text>
    </comment>
    <comment ref="M11" authorId="0" shapeId="0" xr:uid="{00000000-0006-0000-0400-00003C000000}">
      <text>
        <r>
          <rPr>
            <sz val="8"/>
            <color indexed="81"/>
            <rFont val="Tahoma"/>
            <family val="2"/>
          </rPr>
          <t xml:space="preserve">
Bottom Rail Colour options;
Clear Anodised
Metallic Black
Mocha
White
White Birch</t>
        </r>
      </text>
    </comment>
    <comment ref="O11" authorId="0" shapeId="0" xr:uid="{00000000-0006-0000-0400-00003D000000}">
      <text>
        <r>
          <rPr>
            <sz val="8"/>
            <color indexed="81"/>
            <rFont val="Tahoma"/>
            <family val="2"/>
          </rPr>
          <t>Control Options are;
Left
Right
When Bracket Type is Link Together, 
Left or Right can only be selected once per Linked Set.</t>
        </r>
      </text>
    </comment>
    <comment ref="Q11" authorId="0" shapeId="0" xr:uid="{00000000-0006-0000-0400-00003E000000}">
      <text>
        <r>
          <rPr>
            <sz val="8"/>
            <color indexed="81"/>
            <rFont val="Tahoma"/>
            <family val="2"/>
          </rPr>
          <t>Chain Length options are; 
Default
500mm
750mm
1000mm
1250mm
1500mm
2000mm</t>
        </r>
      </text>
    </comment>
    <comment ref="R11" authorId="0" shapeId="0" xr:uid="{00000000-0006-0000-0400-00003F000000}">
      <text>
        <r>
          <rPr>
            <sz val="8"/>
            <color indexed="81"/>
            <rFont val="Tahoma"/>
            <family val="2"/>
          </rPr>
          <t>Chain Colour options are; 
White
White Birch
Black
Nickel Plated Brass
Stainless Steel</t>
        </r>
      </text>
    </comment>
    <comment ref="S11" authorId="0" shapeId="0" xr:uid="{00000000-0006-0000-0400-000040000000}">
      <text>
        <r>
          <rPr>
            <sz val="8"/>
            <color indexed="81"/>
            <rFont val="Tahoma"/>
            <family val="2"/>
          </rPr>
          <t>When
 Standard or Common 
is selected the 
Pelmet Colour 
must be entered.</t>
        </r>
      </text>
    </comment>
    <comment ref="W11" authorId="0" shapeId="0" xr:uid="{00000000-0006-0000-0400-000041000000}">
      <text>
        <r>
          <rPr>
            <sz val="8"/>
            <color indexed="81"/>
            <rFont val="Tahoma"/>
            <family val="2"/>
          </rPr>
          <t>Bracket Options include:
All other options;
Standard
Double
Link
Double Link</t>
        </r>
      </text>
    </comment>
    <comment ref="X11" authorId="0" shapeId="0" xr:uid="{00000000-0006-0000-0400-000042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12" authorId="0" shapeId="0" xr:uid="{00000000-0006-0000-0400-000043000000}">
      <text>
        <r>
          <rPr>
            <sz val="8"/>
            <color indexed="81"/>
            <rFont val="Tahoma"/>
            <family val="2"/>
          </rPr>
          <t>Products options are;
London
Maui
Paris
Sunscreen</t>
        </r>
      </text>
    </comment>
    <comment ref="E12" authorId="0" shapeId="0" xr:uid="{00000000-0006-0000-0400-000044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12" authorId="0" shapeId="0" xr:uid="{00000000-0006-0000-0400-000045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2" authorId="0" shapeId="0" xr:uid="{00000000-0006-0000-0400-000046000000}">
      <text>
        <r>
          <rPr>
            <sz val="8"/>
            <color indexed="81"/>
            <rFont val="Tahoma"/>
            <family val="2"/>
          </rPr>
          <t xml:space="preserve">Minimum Height/Drop is 300mm.
Maximum Height/Drop is 3000mm. </t>
        </r>
      </text>
    </comment>
    <comment ref="H12" authorId="0" shapeId="0" xr:uid="{00000000-0006-0000-0400-000047000000}">
      <text>
        <r>
          <rPr>
            <sz val="8"/>
            <color indexed="81"/>
            <rFont val="Tahoma"/>
            <family val="2"/>
          </rPr>
          <t>When selecting a
Corner or Bay 
Window Type, 
the 
CMB Corner WS 
or 
CMB Bay WS 
must be completed.</t>
        </r>
      </text>
    </comment>
    <comment ref="J12" authorId="0" shapeId="0" xr:uid="{00000000-0006-0000-0400-000048000000}">
      <text>
        <r>
          <rPr>
            <sz val="8"/>
            <color indexed="81"/>
            <rFont val="Tahoma"/>
            <family val="2"/>
          </rPr>
          <t>ACT 
Actual Measurements
You have made the allowances.
NAM
No Allowances Made 
The factory will make the deductions.</t>
        </r>
      </text>
    </comment>
    <comment ref="M12" authorId="0" shapeId="0" xr:uid="{00000000-0006-0000-0400-000049000000}">
      <text>
        <r>
          <rPr>
            <sz val="8"/>
            <color indexed="81"/>
            <rFont val="Tahoma"/>
            <family val="2"/>
          </rPr>
          <t xml:space="preserve">
Bottom Rail Colour options;
Clear Anodised
Metallic Black
Mocha
White
White Birch</t>
        </r>
      </text>
    </comment>
    <comment ref="O12" authorId="0" shapeId="0" xr:uid="{00000000-0006-0000-0400-00004A000000}">
      <text>
        <r>
          <rPr>
            <sz val="8"/>
            <color indexed="81"/>
            <rFont val="Tahoma"/>
            <family val="2"/>
          </rPr>
          <t>Control Options are;
Left
Right
When Bracket Type is Link Together, 
Left or Right can only be selected once per Linked Set.</t>
        </r>
      </text>
    </comment>
    <comment ref="Q12" authorId="0" shapeId="0" xr:uid="{00000000-0006-0000-0400-00004B000000}">
      <text>
        <r>
          <rPr>
            <sz val="8"/>
            <color indexed="81"/>
            <rFont val="Tahoma"/>
            <family val="2"/>
          </rPr>
          <t>Chain Length options are; 
Default
500mm
750mm
1000mm
1250mm
1500mm
2000mm</t>
        </r>
      </text>
    </comment>
    <comment ref="R12" authorId="0" shapeId="0" xr:uid="{00000000-0006-0000-0400-00004C000000}">
      <text>
        <r>
          <rPr>
            <sz val="8"/>
            <color indexed="81"/>
            <rFont val="Tahoma"/>
            <family val="2"/>
          </rPr>
          <t>Chain Colour options are; 
White
White Birch
Black
Nickel Plated Brass
Stainless Steel</t>
        </r>
      </text>
    </comment>
    <comment ref="S12" authorId="0" shapeId="0" xr:uid="{00000000-0006-0000-0400-00004D000000}">
      <text>
        <r>
          <rPr>
            <sz val="8"/>
            <color indexed="81"/>
            <rFont val="Tahoma"/>
            <family val="2"/>
          </rPr>
          <t>When
 Standard or Common 
is selected the 
Pelmet Colour 
must be entered.</t>
        </r>
      </text>
    </comment>
    <comment ref="W12" authorId="0" shapeId="0" xr:uid="{00000000-0006-0000-0400-00004E000000}">
      <text>
        <r>
          <rPr>
            <sz val="8"/>
            <color indexed="81"/>
            <rFont val="Tahoma"/>
            <family val="2"/>
          </rPr>
          <t>Bracket Options include:
All other options;
Standard
Double
Link
Double Link</t>
        </r>
      </text>
    </comment>
    <comment ref="X12" authorId="0" shapeId="0" xr:uid="{00000000-0006-0000-0400-00004F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13" authorId="0" shapeId="0" xr:uid="{00000000-0006-0000-0400-000050000000}">
      <text>
        <r>
          <rPr>
            <sz val="8"/>
            <color indexed="81"/>
            <rFont val="Tahoma"/>
            <family val="2"/>
          </rPr>
          <t>Products options are;
London
Maui
Paris
Sunscreen</t>
        </r>
      </text>
    </comment>
    <comment ref="E13" authorId="0" shapeId="0" xr:uid="{00000000-0006-0000-0400-000051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13" authorId="0" shapeId="0" xr:uid="{00000000-0006-0000-0400-000052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3" authorId="0" shapeId="0" xr:uid="{00000000-0006-0000-0400-000053000000}">
      <text>
        <r>
          <rPr>
            <sz val="8"/>
            <color indexed="81"/>
            <rFont val="Tahoma"/>
            <family val="2"/>
          </rPr>
          <t xml:space="preserve">Minimum Height/Drop is 300mm.
Maximum Height/Drop is 3000mm. </t>
        </r>
      </text>
    </comment>
    <comment ref="H13" authorId="0" shapeId="0" xr:uid="{00000000-0006-0000-0400-000054000000}">
      <text>
        <r>
          <rPr>
            <sz val="8"/>
            <color indexed="81"/>
            <rFont val="Tahoma"/>
            <family val="2"/>
          </rPr>
          <t>When selecting a
Corner or Bay 
Window Type, 
the 
CMB Corner WS 
or 
CMB Bay WS 
must be completed.</t>
        </r>
      </text>
    </comment>
    <comment ref="J13" authorId="0" shapeId="0" xr:uid="{00000000-0006-0000-0400-000055000000}">
      <text>
        <r>
          <rPr>
            <sz val="8"/>
            <color indexed="81"/>
            <rFont val="Tahoma"/>
            <family val="2"/>
          </rPr>
          <t>ACT 
Actual Measurements
You have made the allowances.
NAM
No Allowances Made 
The factory will make the deductions.</t>
        </r>
      </text>
    </comment>
    <comment ref="M13" authorId="0" shapeId="0" xr:uid="{00000000-0006-0000-0400-000056000000}">
      <text>
        <r>
          <rPr>
            <sz val="8"/>
            <color indexed="81"/>
            <rFont val="Tahoma"/>
            <family val="2"/>
          </rPr>
          <t xml:space="preserve">
Bottom Rail Colour options;
Clear Anodised
Metallic Black
Mocha
White
White Birch</t>
        </r>
      </text>
    </comment>
    <comment ref="O13" authorId="0" shapeId="0" xr:uid="{00000000-0006-0000-0400-000057000000}">
      <text>
        <r>
          <rPr>
            <sz val="8"/>
            <color indexed="81"/>
            <rFont val="Tahoma"/>
            <family val="2"/>
          </rPr>
          <t>Control Options are;
Left
Right
When Bracket Type is Link Together, 
Left or Right can only be selected once per Linked Set.</t>
        </r>
      </text>
    </comment>
    <comment ref="Q13" authorId="0" shapeId="0" xr:uid="{00000000-0006-0000-0400-000058000000}">
      <text>
        <r>
          <rPr>
            <sz val="8"/>
            <color indexed="81"/>
            <rFont val="Tahoma"/>
            <family val="2"/>
          </rPr>
          <t>Chain Length options are; 
Default
500mm
750mm
1000mm
1250mm
1500mm
2000mm</t>
        </r>
      </text>
    </comment>
    <comment ref="R13" authorId="0" shapeId="0" xr:uid="{00000000-0006-0000-0400-000059000000}">
      <text>
        <r>
          <rPr>
            <sz val="8"/>
            <color indexed="81"/>
            <rFont val="Tahoma"/>
            <family val="2"/>
          </rPr>
          <t>Chain Colour options are; 
White
White Birch
Black
Nickel Plated Brass
Stainless Steel</t>
        </r>
      </text>
    </comment>
    <comment ref="S13" authorId="0" shapeId="0" xr:uid="{00000000-0006-0000-0400-00005A000000}">
      <text>
        <r>
          <rPr>
            <sz val="8"/>
            <color indexed="81"/>
            <rFont val="Tahoma"/>
            <family val="2"/>
          </rPr>
          <t>When
 Standard or Common 
is selected the 
Pelmet Colour 
must be entered.</t>
        </r>
      </text>
    </comment>
    <comment ref="W13" authorId="0" shapeId="0" xr:uid="{00000000-0006-0000-0400-00005B000000}">
      <text>
        <r>
          <rPr>
            <sz val="8"/>
            <color indexed="81"/>
            <rFont val="Tahoma"/>
            <family val="2"/>
          </rPr>
          <t>Bracket Options include:
All other options;
Standard
Double
Link
Double Link</t>
        </r>
      </text>
    </comment>
    <comment ref="X13" authorId="0" shapeId="0" xr:uid="{00000000-0006-0000-0400-00005C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14" authorId="0" shapeId="0" xr:uid="{00000000-0006-0000-0400-00005D000000}">
      <text>
        <r>
          <rPr>
            <sz val="8"/>
            <color indexed="81"/>
            <rFont val="Tahoma"/>
            <family val="2"/>
          </rPr>
          <t>Products options are;
London
Maui
Paris
Sunscreen</t>
        </r>
      </text>
    </comment>
    <comment ref="E14" authorId="0" shapeId="0" xr:uid="{00000000-0006-0000-0400-00005E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14" authorId="0" shapeId="0" xr:uid="{00000000-0006-0000-0400-00005F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4" authorId="0" shapeId="0" xr:uid="{00000000-0006-0000-0400-000060000000}">
      <text>
        <r>
          <rPr>
            <sz val="8"/>
            <color indexed="81"/>
            <rFont val="Tahoma"/>
            <family val="2"/>
          </rPr>
          <t xml:space="preserve">Minimum Height/Drop is 300mm.
Maximum Height/Drop is 3000mm. </t>
        </r>
      </text>
    </comment>
    <comment ref="H14" authorId="0" shapeId="0" xr:uid="{00000000-0006-0000-0400-000061000000}">
      <text>
        <r>
          <rPr>
            <sz val="8"/>
            <color indexed="81"/>
            <rFont val="Tahoma"/>
            <family val="2"/>
          </rPr>
          <t>When selecting a
Corner or Bay 
Window Type, 
the 
CMB Corner WS 
or 
CMB Bay WS 
must be completed.</t>
        </r>
      </text>
    </comment>
    <comment ref="J14" authorId="0" shapeId="0" xr:uid="{00000000-0006-0000-0400-000062000000}">
      <text>
        <r>
          <rPr>
            <sz val="8"/>
            <color indexed="81"/>
            <rFont val="Tahoma"/>
            <family val="2"/>
          </rPr>
          <t>ACT 
Actual Measurements
You have made the allowances.
NAM
No Allowances Made 
The factory will make the deductions.</t>
        </r>
      </text>
    </comment>
    <comment ref="M14" authorId="0" shapeId="0" xr:uid="{00000000-0006-0000-0400-000063000000}">
      <text>
        <r>
          <rPr>
            <sz val="8"/>
            <color indexed="81"/>
            <rFont val="Tahoma"/>
            <family val="2"/>
          </rPr>
          <t xml:space="preserve">
Bottom Rail Colour options;
Clear Anodised
Metallic Black
Mocha
White
White Birch</t>
        </r>
      </text>
    </comment>
    <comment ref="O14" authorId="0" shapeId="0" xr:uid="{00000000-0006-0000-0400-000064000000}">
      <text>
        <r>
          <rPr>
            <sz val="8"/>
            <color indexed="81"/>
            <rFont val="Tahoma"/>
            <family val="2"/>
          </rPr>
          <t>Control Options are;
Left
Right
When Bracket Type is Link Together, 
Left or Right can only be selected once per Linked Set.</t>
        </r>
      </text>
    </comment>
    <comment ref="Q14" authorId="0" shapeId="0" xr:uid="{00000000-0006-0000-0400-000065000000}">
      <text>
        <r>
          <rPr>
            <sz val="8"/>
            <color indexed="81"/>
            <rFont val="Tahoma"/>
            <family val="2"/>
          </rPr>
          <t>Chain Length options are; 
Default
500mm
750mm
1000mm
1250mm
1500mm
2000mm</t>
        </r>
      </text>
    </comment>
    <comment ref="R14" authorId="0" shapeId="0" xr:uid="{00000000-0006-0000-0400-000066000000}">
      <text>
        <r>
          <rPr>
            <sz val="8"/>
            <color indexed="81"/>
            <rFont val="Tahoma"/>
            <family val="2"/>
          </rPr>
          <t>Chain Colour options are; 
White
White Birch
Black
Nickel Plated Brass
Stainless Steel</t>
        </r>
      </text>
    </comment>
    <comment ref="S14" authorId="0" shapeId="0" xr:uid="{00000000-0006-0000-0400-000067000000}">
      <text>
        <r>
          <rPr>
            <sz val="8"/>
            <color indexed="81"/>
            <rFont val="Tahoma"/>
            <family val="2"/>
          </rPr>
          <t>When
 Standard or Common 
is selected the 
Pelmet Colour 
must be entered.</t>
        </r>
      </text>
    </comment>
    <comment ref="W14" authorId="0" shapeId="0" xr:uid="{00000000-0006-0000-0400-000068000000}">
      <text>
        <r>
          <rPr>
            <sz val="8"/>
            <color indexed="81"/>
            <rFont val="Tahoma"/>
            <family val="2"/>
          </rPr>
          <t>Bracket Options include:
All other options;
Standard
Double
Link
Double Link</t>
        </r>
      </text>
    </comment>
    <comment ref="X14" authorId="0" shapeId="0" xr:uid="{00000000-0006-0000-0400-000069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15" authorId="0" shapeId="0" xr:uid="{00000000-0006-0000-0400-00006A000000}">
      <text>
        <r>
          <rPr>
            <sz val="8"/>
            <color indexed="81"/>
            <rFont val="Tahoma"/>
            <family val="2"/>
          </rPr>
          <t>Products options are;
London
Maui
Paris
Sunscreen</t>
        </r>
      </text>
    </comment>
    <comment ref="E15" authorId="0" shapeId="0" xr:uid="{00000000-0006-0000-0400-00006B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15" authorId="0" shapeId="0" xr:uid="{00000000-0006-0000-0400-00006C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5" authorId="0" shapeId="0" xr:uid="{00000000-0006-0000-0400-00006D000000}">
      <text>
        <r>
          <rPr>
            <sz val="8"/>
            <color indexed="81"/>
            <rFont val="Tahoma"/>
            <family val="2"/>
          </rPr>
          <t xml:space="preserve">Minimum Height/Drop is 300mm.
Maximum Height/Drop is 3000mm. </t>
        </r>
      </text>
    </comment>
    <comment ref="H15" authorId="0" shapeId="0" xr:uid="{00000000-0006-0000-0400-00006E000000}">
      <text>
        <r>
          <rPr>
            <sz val="8"/>
            <color indexed="81"/>
            <rFont val="Tahoma"/>
            <family val="2"/>
          </rPr>
          <t>When selecting a
Corner or Bay 
Window Type, 
the 
CMB Corner WS 
or 
CMB Bay WS 
must be completed.</t>
        </r>
      </text>
    </comment>
    <comment ref="J15" authorId="0" shapeId="0" xr:uid="{00000000-0006-0000-0400-00006F000000}">
      <text>
        <r>
          <rPr>
            <sz val="8"/>
            <color indexed="81"/>
            <rFont val="Tahoma"/>
            <family val="2"/>
          </rPr>
          <t>ACT 
Actual Measurements
You have made the allowances.
NAM
No Allowances Made 
The factory will make the deductions.</t>
        </r>
      </text>
    </comment>
    <comment ref="M15" authorId="0" shapeId="0" xr:uid="{00000000-0006-0000-0400-000070000000}">
      <text>
        <r>
          <rPr>
            <sz val="8"/>
            <color indexed="81"/>
            <rFont val="Tahoma"/>
            <family val="2"/>
          </rPr>
          <t xml:space="preserve">
Bottom Rail Colour options;
Clear Anodised
Metallic Black
Mocha
White
White Birch</t>
        </r>
      </text>
    </comment>
    <comment ref="O15" authorId="0" shapeId="0" xr:uid="{00000000-0006-0000-0400-000071000000}">
      <text>
        <r>
          <rPr>
            <sz val="8"/>
            <color indexed="81"/>
            <rFont val="Tahoma"/>
            <family val="2"/>
          </rPr>
          <t>Control Options are;
Left
Right
When Bracket Type is Link Together, 
Left or Right can only be selected once per Linked Set.</t>
        </r>
      </text>
    </comment>
    <comment ref="Q15" authorId="0" shapeId="0" xr:uid="{00000000-0006-0000-0400-000072000000}">
      <text>
        <r>
          <rPr>
            <sz val="8"/>
            <color indexed="81"/>
            <rFont val="Tahoma"/>
            <family val="2"/>
          </rPr>
          <t>Chain Length options are; 
Default
500mm
750mm
1000mm
1250mm
1500mm
2000mm</t>
        </r>
      </text>
    </comment>
    <comment ref="R15" authorId="0" shapeId="0" xr:uid="{00000000-0006-0000-0400-000073000000}">
      <text>
        <r>
          <rPr>
            <sz val="8"/>
            <color indexed="81"/>
            <rFont val="Tahoma"/>
            <family val="2"/>
          </rPr>
          <t>Chain Colour options are; 
White
White Birch
Black
Nickel Plated Brass
Stainless Steel</t>
        </r>
      </text>
    </comment>
    <comment ref="S15" authorId="0" shapeId="0" xr:uid="{00000000-0006-0000-0400-000074000000}">
      <text>
        <r>
          <rPr>
            <sz val="8"/>
            <color indexed="81"/>
            <rFont val="Tahoma"/>
            <family val="2"/>
          </rPr>
          <t>When
 Standard or Common 
is selected the 
Pelmet Colour 
must be entered.</t>
        </r>
      </text>
    </comment>
    <comment ref="W15" authorId="0" shapeId="0" xr:uid="{00000000-0006-0000-0400-000075000000}">
      <text>
        <r>
          <rPr>
            <sz val="8"/>
            <color indexed="81"/>
            <rFont val="Tahoma"/>
            <family val="2"/>
          </rPr>
          <t>Bracket Options include:
All other options;
Standard
Double
Link
Double Link</t>
        </r>
      </text>
    </comment>
    <comment ref="X15" authorId="0" shapeId="0" xr:uid="{00000000-0006-0000-0400-000076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16" authorId="0" shapeId="0" xr:uid="{00000000-0006-0000-0400-000077000000}">
      <text>
        <r>
          <rPr>
            <sz val="8"/>
            <color indexed="81"/>
            <rFont val="Tahoma"/>
            <family val="2"/>
          </rPr>
          <t>Products options are;
London
Maui
Paris
Sunscreen</t>
        </r>
      </text>
    </comment>
    <comment ref="E16" authorId="0" shapeId="0" xr:uid="{00000000-0006-0000-0400-000078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16" authorId="0" shapeId="0" xr:uid="{00000000-0006-0000-0400-000079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6" authorId="0" shapeId="0" xr:uid="{00000000-0006-0000-0400-00007A000000}">
      <text>
        <r>
          <rPr>
            <sz val="8"/>
            <color indexed="81"/>
            <rFont val="Tahoma"/>
            <family val="2"/>
          </rPr>
          <t xml:space="preserve">Minimum Height/Drop is 300mm.
Maximum Height/Drop is 3000mm. </t>
        </r>
      </text>
    </comment>
    <comment ref="H16" authorId="0" shapeId="0" xr:uid="{00000000-0006-0000-0400-00007B000000}">
      <text>
        <r>
          <rPr>
            <sz val="8"/>
            <color indexed="81"/>
            <rFont val="Tahoma"/>
            <family val="2"/>
          </rPr>
          <t>When selecting a
Corner or Bay 
Window Type, 
the 
CMB Corner WS 
or 
CMB Bay WS 
must be completed.</t>
        </r>
      </text>
    </comment>
    <comment ref="J16" authorId="0" shapeId="0" xr:uid="{00000000-0006-0000-0400-00007C000000}">
      <text>
        <r>
          <rPr>
            <sz val="8"/>
            <color indexed="81"/>
            <rFont val="Tahoma"/>
            <family val="2"/>
          </rPr>
          <t>ACT 
Actual Measurements
You have made the allowances.
NAM
No Allowances Made 
The factory will make the deductions.</t>
        </r>
      </text>
    </comment>
    <comment ref="M16" authorId="0" shapeId="0" xr:uid="{00000000-0006-0000-0400-00007D000000}">
      <text>
        <r>
          <rPr>
            <sz val="8"/>
            <color indexed="81"/>
            <rFont val="Tahoma"/>
            <family val="2"/>
          </rPr>
          <t xml:space="preserve">
Bottom Rail Colour options;
Clear Anodised
Metallic Black
Mocha
White
White Birch</t>
        </r>
      </text>
    </comment>
    <comment ref="O16" authorId="0" shapeId="0" xr:uid="{00000000-0006-0000-0400-00007E000000}">
      <text>
        <r>
          <rPr>
            <sz val="8"/>
            <color indexed="81"/>
            <rFont val="Tahoma"/>
            <family val="2"/>
          </rPr>
          <t>Control Options are;
Left
Right
When Bracket Type is Link Together, 
Left or Right can only be selected once per Linked Set.</t>
        </r>
      </text>
    </comment>
    <comment ref="Q16" authorId="0" shapeId="0" xr:uid="{00000000-0006-0000-0400-00007F000000}">
      <text>
        <r>
          <rPr>
            <sz val="8"/>
            <color indexed="81"/>
            <rFont val="Tahoma"/>
            <family val="2"/>
          </rPr>
          <t>Chain Length options are; 
Default
500mm
750mm
1000mm
1250mm
1500mm
2000mm</t>
        </r>
      </text>
    </comment>
    <comment ref="R16" authorId="0" shapeId="0" xr:uid="{00000000-0006-0000-0400-000080000000}">
      <text>
        <r>
          <rPr>
            <sz val="8"/>
            <color indexed="81"/>
            <rFont val="Tahoma"/>
            <family val="2"/>
          </rPr>
          <t>Chain Colour options are; 
White
White Birch
Black
Nickel Plated Brass
Stainless Steel</t>
        </r>
      </text>
    </comment>
    <comment ref="S16" authorId="0" shapeId="0" xr:uid="{00000000-0006-0000-0400-000081000000}">
      <text>
        <r>
          <rPr>
            <sz val="8"/>
            <color indexed="81"/>
            <rFont val="Tahoma"/>
            <family val="2"/>
          </rPr>
          <t>When
 Standard or Common 
is selected the 
Pelmet Colour 
must be entered.</t>
        </r>
      </text>
    </comment>
    <comment ref="W16" authorId="0" shapeId="0" xr:uid="{00000000-0006-0000-0400-000082000000}">
      <text>
        <r>
          <rPr>
            <sz val="8"/>
            <color indexed="81"/>
            <rFont val="Tahoma"/>
            <family val="2"/>
          </rPr>
          <t>Bracket Options include:
All other options;
Standard
Double
Link
Double Link</t>
        </r>
      </text>
    </comment>
    <comment ref="X16" authorId="0" shapeId="0" xr:uid="{00000000-0006-0000-0400-000083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17" authorId="0" shapeId="0" xr:uid="{00000000-0006-0000-0400-000084000000}">
      <text>
        <r>
          <rPr>
            <sz val="8"/>
            <color indexed="81"/>
            <rFont val="Tahoma"/>
            <family val="2"/>
          </rPr>
          <t>Products options are;
London
Maui
Paris
Sunscreen</t>
        </r>
      </text>
    </comment>
    <comment ref="E17" authorId="0" shapeId="0" xr:uid="{00000000-0006-0000-0400-000085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17" authorId="0" shapeId="0" xr:uid="{00000000-0006-0000-0400-000086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7" authorId="0" shapeId="0" xr:uid="{00000000-0006-0000-0400-000087000000}">
      <text>
        <r>
          <rPr>
            <sz val="8"/>
            <color indexed="81"/>
            <rFont val="Tahoma"/>
            <family val="2"/>
          </rPr>
          <t xml:space="preserve">Minimum Height/Drop is 300mm.
Maximum Height/Drop is 3000mm. </t>
        </r>
      </text>
    </comment>
    <comment ref="H17" authorId="0" shapeId="0" xr:uid="{00000000-0006-0000-0400-000088000000}">
      <text>
        <r>
          <rPr>
            <sz val="8"/>
            <color indexed="81"/>
            <rFont val="Tahoma"/>
            <family val="2"/>
          </rPr>
          <t>When selecting a
Corner or Bay 
Window Type, 
the 
CMB Corner WS 
or 
CMB Bay WS 
must be completed.</t>
        </r>
      </text>
    </comment>
    <comment ref="J17" authorId="0" shapeId="0" xr:uid="{00000000-0006-0000-0400-000089000000}">
      <text>
        <r>
          <rPr>
            <sz val="8"/>
            <color indexed="81"/>
            <rFont val="Tahoma"/>
            <family val="2"/>
          </rPr>
          <t>ACT 
Actual Measurements
You have made the allowances.
NAM
No Allowances Made 
The factory will make the deductions.</t>
        </r>
      </text>
    </comment>
    <comment ref="M17" authorId="0" shapeId="0" xr:uid="{00000000-0006-0000-0400-00008A000000}">
      <text>
        <r>
          <rPr>
            <sz val="8"/>
            <color indexed="81"/>
            <rFont val="Tahoma"/>
            <family val="2"/>
          </rPr>
          <t xml:space="preserve">
Bottom Rail Colour options;
Clear Anodised
Metallic Black
Mocha
White
White Birch</t>
        </r>
      </text>
    </comment>
    <comment ref="O17" authorId="0" shapeId="0" xr:uid="{00000000-0006-0000-0400-00008B000000}">
      <text>
        <r>
          <rPr>
            <sz val="8"/>
            <color indexed="81"/>
            <rFont val="Tahoma"/>
            <family val="2"/>
          </rPr>
          <t>Control Options are;
Left
Right
When Bracket Type is Link Together, 
Left or Right can only be selected once per Linked Set.</t>
        </r>
      </text>
    </comment>
    <comment ref="Q17" authorId="0" shapeId="0" xr:uid="{00000000-0006-0000-0400-00008C000000}">
      <text>
        <r>
          <rPr>
            <sz val="8"/>
            <color indexed="81"/>
            <rFont val="Tahoma"/>
            <family val="2"/>
          </rPr>
          <t>Chain Length options are; 
Default
500mm
750mm
1000mm
1250mm
1500mm
2000mm</t>
        </r>
      </text>
    </comment>
    <comment ref="R17" authorId="0" shapeId="0" xr:uid="{00000000-0006-0000-0400-00008D000000}">
      <text>
        <r>
          <rPr>
            <sz val="8"/>
            <color indexed="81"/>
            <rFont val="Tahoma"/>
            <family val="2"/>
          </rPr>
          <t>Chain Colour options are; 
White
White Birch
Black
Nickel Plated Brass
Stainless Steel</t>
        </r>
      </text>
    </comment>
    <comment ref="S17" authorId="0" shapeId="0" xr:uid="{00000000-0006-0000-0400-00008E000000}">
      <text>
        <r>
          <rPr>
            <sz val="8"/>
            <color indexed="81"/>
            <rFont val="Tahoma"/>
            <family val="2"/>
          </rPr>
          <t>When
 Standard or Common 
is selected the 
Pelmet Colour 
must be entered.</t>
        </r>
      </text>
    </comment>
    <comment ref="W17" authorId="0" shapeId="0" xr:uid="{00000000-0006-0000-0400-00008F000000}">
      <text>
        <r>
          <rPr>
            <sz val="8"/>
            <color indexed="81"/>
            <rFont val="Tahoma"/>
            <family val="2"/>
          </rPr>
          <t>Bracket Options include:
All other options;
Standard
Double
Link
Double Link</t>
        </r>
      </text>
    </comment>
    <comment ref="X17" authorId="0" shapeId="0" xr:uid="{00000000-0006-0000-0400-000090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18" authorId="0" shapeId="0" xr:uid="{00000000-0006-0000-0400-000091000000}">
      <text>
        <r>
          <rPr>
            <sz val="8"/>
            <color indexed="81"/>
            <rFont val="Tahoma"/>
            <family val="2"/>
          </rPr>
          <t>Products options are;
London
Maui
Paris
Sunscreen</t>
        </r>
      </text>
    </comment>
    <comment ref="E18" authorId="0" shapeId="0" xr:uid="{00000000-0006-0000-0400-000092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18" authorId="0" shapeId="0" xr:uid="{00000000-0006-0000-0400-000093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8" authorId="0" shapeId="0" xr:uid="{00000000-0006-0000-0400-000094000000}">
      <text>
        <r>
          <rPr>
            <sz val="8"/>
            <color indexed="81"/>
            <rFont val="Tahoma"/>
            <family val="2"/>
          </rPr>
          <t xml:space="preserve">Minimum Height/Drop is 300mm.
Maximum Height/Drop is 3000mm. </t>
        </r>
      </text>
    </comment>
    <comment ref="H18" authorId="0" shapeId="0" xr:uid="{00000000-0006-0000-0400-000095000000}">
      <text>
        <r>
          <rPr>
            <sz val="8"/>
            <color indexed="81"/>
            <rFont val="Tahoma"/>
            <family val="2"/>
          </rPr>
          <t>When selecting a
Corner or Bay 
Window Type, 
the 
CMB Corner WS 
or 
CMB Bay WS 
must be completed.</t>
        </r>
      </text>
    </comment>
    <comment ref="J18" authorId="0" shapeId="0" xr:uid="{00000000-0006-0000-0400-000096000000}">
      <text>
        <r>
          <rPr>
            <sz val="8"/>
            <color indexed="81"/>
            <rFont val="Tahoma"/>
            <family val="2"/>
          </rPr>
          <t>ACT 
Actual Measurements
You have made the allowances.
NAM
No Allowances Made 
The factory will make the deductions.</t>
        </r>
      </text>
    </comment>
    <comment ref="M18" authorId="0" shapeId="0" xr:uid="{00000000-0006-0000-0400-000097000000}">
      <text>
        <r>
          <rPr>
            <sz val="8"/>
            <color indexed="81"/>
            <rFont val="Tahoma"/>
            <family val="2"/>
          </rPr>
          <t xml:space="preserve">
Bottom Rail Colour options;
Clear Anodised
Metallic Black
Mocha
White
White Birch</t>
        </r>
      </text>
    </comment>
    <comment ref="O18" authorId="0" shapeId="0" xr:uid="{00000000-0006-0000-0400-000098000000}">
      <text>
        <r>
          <rPr>
            <sz val="8"/>
            <color indexed="81"/>
            <rFont val="Tahoma"/>
            <family val="2"/>
          </rPr>
          <t>Control Options are;
Left
Right
When Bracket Type is Link Together, 
Left or Right can only be selected once per Linked Set.</t>
        </r>
      </text>
    </comment>
    <comment ref="Q18" authorId="0" shapeId="0" xr:uid="{00000000-0006-0000-0400-000099000000}">
      <text>
        <r>
          <rPr>
            <sz val="8"/>
            <color indexed="81"/>
            <rFont val="Tahoma"/>
            <family val="2"/>
          </rPr>
          <t>Chain Length options are; 
Default
500mm
750mm
1000mm
1250mm
1500mm
2000mm</t>
        </r>
      </text>
    </comment>
    <comment ref="R18" authorId="0" shapeId="0" xr:uid="{00000000-0006-0000-0400-00009A000000}">
      <text>
        <r>
          <rPr>
            <sz val="8"/>
            <color indexed="81"/>
            <rFont val="Tahoma"/>
            <family val="2"/>
          </rPr>
          <t>Chain Colour options are; 
White
White Birch
Black
Nickel Plated Brass
Stainless Steel</t>
        </r>
      </text>
    </comment>
    <comment ref="S18" authorId="0" shapeId="0" xr:uid="{00000000-0006-0000-0400-00009B000000}">
      <text>
        <r>
          <rPr>
            <sz val="8"/>
            <color indexed="81"/>
            <rFont val="Tahoma"/>
            <family val="2"/>
          </rPr>
          <t>When
 Standard or Common 
is selected the 
Pelmet Colour 
must be entered.</t>
        </r>
      </text>
    </comment>
    <comment ref="W18" authorId="0" shapeId="0" xr:uid="{00000000-0006-0000-0400-00009C000000}">
      <text>
        <r>
          <rPr>
            <sz val="8"/>
            <color indexed="81"/>
            <rFont val="Tahoma"/>
            <family val="2"/>
          </rPr>
          <t>Bracket Options include:
All other options;
Standard
Double
Link
Double Link</t>
        </r>
      </text>
    </comment>
    <comment ref="X18" authorId="0" shapeId="0" xr:uid="{00000000-0006-0000-0400-00009D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19" authorId="0" shapeId="0" xr:uid="{00000000-0006-0000-0400-00009E000000}">
      <text>
        <r>
          <rPr>
            <sz val="8"/>
            <color indexed="81"/>
            <rFont val="Tahoma"/>
            <family val="2"/>
          </rPr>
          <t>Products options are;
London
Maui
Paris
Sunscreen</t>
        </r>
      </text>
    </comment>
    <comment ref="E19" authorId="0" shapeId="0" xr:uid="{00000000-0006-0000-0400-00009F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19" authorId="0" shapeId="0" xr:uid="{00000000-0006-0000-0400-0000A0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9" authorId="0" shapeId="0" xr:uid="{00000000-0006-0000-0400-0000A1000000}">
      <text>
        <r>
          <rPr>
            <sz val="8"/>
            <color indexed="81"/>
            <rFont val="Tahoma"/>
            <family val="2"/>
          </rPr>
          <t xml:space="preserve">Minimum Height/Drop is 300mm.
Maximum Height/Drop is 3000mm. </t>
        </r>
      </text>
    </comment>
    <comment ref="H19" authorId="0" shapeId="0" xr:uid="{00000000-0006-0000-0400-0000A2000000}">
      <text>
        <r>
          <rPr>
            <sz val="8"/>
            <color indexed="81"/>
            <rFont val="Tahoma"/>
            <family val="2"/>
          </rPr>
          <t>When selecting a
Corner or Bay 
Window Type, 
the 
CMB Corner WS 
or 
CMB Bay WS 
must be completed.</t>
        </r>
      </text>
    </comment>
    <comment ref="J19" authorId="0" shapeId="0" xr:uid="{00000000-0006-0000-0400-0000A3000000}">
      <text>
        <r>
          <rPr>
            <sz val="8"/>
            <color indexed="81"/>
            <rFont val="Tahoma"/>
            <family val="2"/>
          </rPr>
          <t>ACT 
Actual Measurements
You have made the allowances.
NAM
No Allowances Made 
The factory will make the deductions.</t>
        </r>
      </text>
    </comment>
    <comment ref="M19" authorId="0" shapeId="0" xr:uid="{00000000-0006-0000-0400-0000A4000000}">
      <text>
        <r>
          <rPr>
            <sz val="8"/>
            <color indexed="81"/>
            <rFont val="Tahoma"/>
            <family val="2"/>
          </rPr>
          <t xml:space="preserve">
Bottom Rail Colour options;
Clear Anodised
Metallic Black
Mocha
White
White Birch</t>
        </r>
      </text>
    </comment>
    <comment ref="O19" authorId="0" shapeId="0" xr:uid="{00000000-0006-0000-0400-0000A5000000}">
      <text>
        <r>
          <rPr>
            <sz val="8"/>
            <color indexed="81"/>
            <rFont val="Tahoma"/>
            <family val="2"/>
          </rPr>
          <t>Control Options are;
Left
Right
When Bracket Type is Link Together, 
Left or Right can only be selected once per Linked Set.</t>
        </r>
      </text>
    </comment>
    <comment ref="Q19" authorId="0" shapeId="0" xr:uid="{00000000-0006-0000-0400-0000A6000000}">
      <text>
        <r>
          <rPr>
            <sz val="8"/>
            <color indexed="81"/>
            <rFont val="Tahoma"/>
            <family val="2"/>
          </rPr>
          <t>Chain Length options are; 
Default
500mm
750mm
1000mm
1250mm
1500mm
2000mm</t>
        </r>
      </text>
    </comment>
    <comment ref="R19" authorId="0" shapeId="0" xr:uid="{00000000-0006-0000-0400-0000A7000000}">
      <text>
        <r>
          <rPr>
            <sz val="8"/>
            <color indexed="81"/>
            <rFont val="Tahoma"/>
            <family val="2"/>
          </rPr>
          <t>Chain Colour options are; 
White
White Birch
Black
Nickel Plated Brass
Stainless Steel</t>
        </r>
      </text>
    </comment>
    <comment ref="S19" authorId="0" shapeId="0" xr:uid="{00000000-0006-0000-0400-0000A8000000}">
      <text>
        <r>
          <rPr>
            <sz val="8"/>
            <color indexed="81"/>
            <rFont val="Tahoma"/>
            <family val="2"/>
          </rPr>
          <t>When
 Standard or Common 
is selected the 
Pelmet Colour 
must be entered.</t>
        </r>
      </text>
    </comment>
    <comment ref="W19" authorId="0" shapeId="0" xr:uid="{00000000-0006-0000-0400-0000A9000000}">
      <text>
        <r>
          <rPr>
            <sz val="8"/>
            <color indexed="81"/>
            <rFont val="Tahoma"/>
            <family val="2"/>
          </rPr>
          <t>Bracket Options include:
All other options;
Standard
Double
Link
Double Link</t>
        </r>
      </text>
    </comment>
    <comment ref="X19" authorId="0" shapeId="0" xr:uid="{00000000-0006-0000-0400-0000AA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20" authorId="0" shapeId="0" xr:uid="{00000000-0006-0000-0400-0000AB000000}">
      <text>
        <r>
          <rPr>
            <sz val="8"/>
            <color indexed="81"/>
            <rFont val="Tahoma"/>
            <family val="2"/>
          </rPr>
          <t>Products options are;
London
Maui
Paris
Sunscreen</t>
        </r>
      </text>
    </comment>
    <comment ref="E20" authorId="0" shapeId="0" xr:uid="{00000000-0006-0000-0400-0000AC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20" authorId="0" shapeId="0" xr:uid="{00000000-0006-0000-0400-0000AD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0" authorId="0" shapeId="0" xr:uid="{00000000-0006-0000-0400-0000AE000000}">
      <text>
        <r>
          <rPr>
            <sz val="8"/>
            <color indexed="81"/>
            <rFont val="Tahoma"/>
            <family val="2"/>
          </rPr>
          <t xml:space="preserve">Minimum Height/Drop is 300mm.
Maximum Height/Drop is 3000mm. </t>
        </r>
      </text>
    </comment>
    <comment ref="H20" authorId="0" shapeId="0" xr:uid="{00000000-0006-0000-0400-0000AF000000}">
      <text>
        <r>
          <rPr>
            <sz val="8"/>
            <color indexed="81"/>
            <rFont val="Tahoma"/>
            <family val="2"/>
          </rPr>
          <t>When selecting a
Corner or Bay 
Window Type, 
the 
CMB Corner WS 
or 
CMB Bay WS 
must be completed.</t>
        </r>
      </text>
    </comment>
    <comment ref="J20" authorId="0" shapeId="0" xr:uid="{00000000-0006-0000-0400-0000B0000000}">
      <text>
        <r>
          <rPr>
            <sz val="8"/>
            <color indexed="81"/>
            <rFont val="Tahoma"/>
            <family val="2"/>
          </rPr>
          <t>ACT 
Actual Measurements
You have made the allowances.
NAM
No Allowances Made 
The factory will make the deductions.</t>
        </r>
      </text>
    </comment>
    <comment ref="M20" authorId="0" shapeId="0" xr:uid="{00000000-0006-0000-0400-0000B1000000}">
      <text>
        <r>
          <rPr>
            <sz val="8"/>
            <color indexed="81"/>
            <rFont val="Tahoma"/>
            <family val="2"/>
          </rPr>
          <t xml:space="preserve">
Bottom Rail Colour options;
Clear Anodised
Metallic Black
Mocha
White
White Birch</t>
        </r>
      </text>
    </comment>
    <comment ref="O20" authorId="0" shapeId="0" xr:uid="{00000000-0006-0000-0400-0000B2000000}">
      <text>
        <r>
          <rPr>
            <sz val="8"/>
            <color indexed="81"/>
            <rFont val="Tahoma"/>
            <family val="2"/>
          </rPr>
          <t>Control Options are;
Left
Right
When Bracket Type is Link Together, 
Left or Right can only be selected once per Linked Set.</t>
        </r>
      </text>
    </comment>
    <comment ref="Q20" authorId="0" shapeId="0" xr:uid="{00000000-0006-0000-0400-0000B3000000}">
      <text>
        <r>
          <rPr>
            <sz val="8"/>
            <color indexed="81"/>
            <rFont val="Tahoma"/>
            <family val="2"/>
          </rPr>
          <t>Chain Length options are; 
Default
500mm
750mm
1000mm
1250mm
1500mm
2000mm</t>
        </r>
      </text>
    </comment>
    <comment ref="R20" authorId="0" shapeId="0" xr:uid="{00000000-0006-0000-0400-0000B4000000}">
      <text>
        <r>
          <rPr>
            <sz val="8"/>
            <color indexed="81"/>
            <rFont val="Tahoma"/>
            <family val="2"/>
          </rPr>
          <t>Chain Colour options are; 
White
White Birch
Black
Nickel Plated Brass
Stainless Steel</t>
        </r>
      </text>
    </comment>
    <comment ref="S20" authorId="0" shapeId="0" xr:uid="{00000000-0006-0000-0400-0000B5000000}">
      <text>
        <r>
          <rPr>
            <sz val="8"/>
            <color indexed="81"/>
            <rFont val="Tahoma"/>
            <family val="2"/>
          </rPr>
          <t>When
 Standard or Common 
is selected the 
Pelmet Colour 
must be entered.</t>
        </r>
      </text>
    </comment>
    <comment ref="W20" authorId="0" shapeId="0" xr:uid="{00000000-0006-0000-0400-0000B6000000}">
      <text>
        <r>
          <rPr>
            <sz val="8"/>
            <color indexed="81"/>
            <rFont val="Tahoma"/>
            <family val="2"/>
          </rPr>
          <t>Bracket Options include:
All other options;
Standard
Double
Link
Double Link</t>
        </r>
      </text>
    </comment>
    <comment ref="X20" authorId="0" shapeId="0" xr:uid="{00000000-0006-0000-0400-0000B7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21" authorId="0" shapeId="0" xr:uid="{00000000-0006-0000-0400-0000B8000000}">
      <text>
        <r>
          <rPr>
            <sz val="8"/>
            <color indexed="81"/>
            <rFont val="Tahoma"/>
            <family val="2"/>
          </rPr>
          <t>Products options are;
London
Maui
Paris
Sunscreen</t>
        </r>
      </text>
    </comment>
    <comment ref="E21" authorId="0" shapeId="0" xr:uid="{00000000-0006-0000-0400-0000B9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21" authorId="0" shapeId="0" xr:uid="{00000000-0006-0000-0400-0000BA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1" authorId="0" shapeId="0" xr:uid="{00000000-0006-0000-0400-0000BB000000}">
      <text>
        <r>
          <rPr>
            <sz val="8"/>
            <color indexed="81"/>
            <rFont val="Tahoma"/>
            <family val="2"/>
          </rPr>
          <t xml:space="preserve">Minimum Height/Drop is 300mm.
Maximum Height/Drop is 3000mm. </t>
        </r>
      </text>
    </comment>
    <comment ref="H21" authorId="0" shapeId="0" xr:uid="{00000000-0006-0000-0400-0000BC000000}">
      <text>
        <r>
          <rPr>
            <sz val="8"/>
            <color indexed="81"/>
            <rFont val="Tahoma"/>
            <family val="2"/>
          </rPr>
          <t>When selecting a
Corner or Bay 
Window Type, 
the 
CMB Corner WS 
or 
CMB Bay WS 
must be completed.</t>
        </r>
      </text>
    </comment>
    <comment ref="J21" authorId="0" shapeId="0" xr:uid="{00000000-0006-0000-0400-0000BD000000}">
      <text>
        <r>
          <rPr>
            <sz val="8"/>
            <color indexed="81"/>
            <rFont val="Tahoma"/>
            <family val="2"/>
          </rPr>
          <t>ACT 
Actual Measurements
You have made the allowances.
NAM
No Allowances Made 
The factory will make the deductions.</t>
        </r>
      </text>
    </comment>
    <comment ref="M21" authorId="0" shapeId="0" xr:uid="{00000000-0006-0000-0400-0000BE000000}">
      <text>
        <r>
          <rPr>
            <sz val="8"/>
            <color indexed="81"/>
            <rFont val="Tahoma"/>
            <family val="2"/>
          </rPr>
          <t xml:space="preserve">
Bottom Rail Colour options;
Clear Anodised
Metallic Black
Mocha
White
White Birch</t>
        </r>
      </text>
    </comment>
    <comment ref="O21" authorId="0" shapeId="0" xr:uid="{00000000-0006-0000-0400-0000BF000000}">
      <text>
        <r>
          <rPr>
            <sz val="8"/>
            <color indexed="81"/>
            <rFont val="Tahoma"/>
            <family val="2"/>
          </rPr>
          <t>Control Options are;
Left
Right
When Bracket Type is Link Together, 
Left or Right can only be selected once per Linked Set.</t>
        </r>
      </text>
    </comment>
    <comment ref="Q21" authorId="0" shapeId="0" xr:uid="{00000000-0006-0000-0400-0000C0000000}">
      <text>
        <r>
          <rPr>
            <sz val="8"/>
            <color indexed="81"/>
            <rFont val="Tahoma"/>
            <family val="2"/>
          </rPr>
          <t>Chain Length options are; 
Default
500mm
750mm
1000mm
1250mm
1500mm
2000mm</t>
        </r>
      </text>
    </comment>
    <comment ref="R21" authorId="0" shapeId="0" xr:uid="{00000000-0006-0000-0400-0000C1000000}">
      <text>
        <r>
          <rPr>
            <sz val="8"/>
            <color indexed="81"/>
            <rFont val="Tahoma"/>
            <family val="2"/>
          </rPr>
          <t>Chain Colour options are; 
White
White Birch
Black
Nickel Plated Brass
Stainless Steel</t>
        </r>
      </text>
    </comment>
    <comment ref="S21" authorId="0" shapeId="0" xr:uid="{00000000-0006-0000-0400-0000C2000000}">
      <text>
        <r>
          <rPr>
            <sz val="8"/>
            <color indexed="81"/>
            <rFont val="Tahoma"/>
            <family val="2"/>
          </rPr>
          <t>When
 Standard or Common 
is selected the 
Pelmet Colour 
must be entered.</t>
        </r>
      </text>
    </comment>
    <comment ref="W21" authorId="0" shapeId="0" xr:uid="{00000000-0006-0000-0400-0000C3000000}">
      <text>
        <r>
          <rPr>
            <sz val="8"/>
            <color indexed="81"/>
            <rFont val="Tahoma"/>
            <family val="2"/>
          </rPr>
          <t>Bracket Options include:
All other options;
Standard
Double
Link
Double Link</t>
        </r>
      </text>
    </comment>
    <comment ref="X21" authorId="0" shapeId="0" xr:uid="{00000000-0006-0000-0400-0000C4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22" authorId="0" shapeId="0" xr:uid="{00000000-0006-0000-0400-0000C5000000}">
      <text>
        <r>
          <rPr>
            <sz val="8"/>
            <color indexed="81"/>
            <rFont val="Tahoma"/>
            <family val="2"/>
          </rPr>
          <t>Products options are;
London
Maui
Paris
Sunscreen</t>
        </r>
      </text>
    </comment>
    <comment ref="E22" authorId="0" shapeId="0" xr:uid="{00000000-0006-0000-0400-0000C6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22" authorId="0" shapeId="0" xr:uid="{00000000-0006-0000-0400-0000C7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2" authorId="0" shapeId="0" xr:uid="{00000000-0006-0000-0400-0000C8000000}">
      <text>
        <r>
          <rPr>
            <sz val="8"/>
            <color indexed="81"/>
            <rFont val="Tahoma"/>
            <family val="2"/>
          </rPr>
          <t xml:space="preserve">Minimum Height/Drop is 300mm.
Maximum Height/Drop is 3000mm. </t>
        </r>
      </text>
    </comment>
    <comment ref="H22" authorId="0" shapeId="0" xr:uid="{00000000-0006-0000-0400-0000C9000000}">
      <text>
        <r>
          <rPr>
            <sz val="8"/>
            <color indexed="81"/>
            <rFont val="Tahoma"/>
            <family val="2"/>
          </rPr>
          <t>When selecting a
Corner or Bay 
Window Type, 
the 
CMB Corner WS 
or 
CMB Bay WS 
must be completed.</t>
        </r>
      </text>
    </comment>
    <comment ref="J22" authorId="0" shapeId="0" xr:uid="{00000000-0006-0000-0400-0000CA000000}">
      <text>
        <r>
          <rPr>
            <sz val="8"/>
            <color indexed="81"/>
            <rFont val="Tahoma"/>
            <family val="2"/>
          </rPr>
          <t>ACT 
Actual Measurements
You have made the allowances.
NAM
No Allowances Made 
The factory will make the deductions.</t>
        </r>
      </text>
    </comment>
    <comment ref="M22" authorId="0" shapeId="0" xr:uid="{00000000-0006-0000-0400-0000CB000000}">
      <text>
        <r>
          <rPr>
            <sz val="8"/>
            <color indexed="81"/>
            <rFont val="Tahoma"/>
            <family val="2"/>
          </rPr>
          <t xml:space="preserve">
Bottom Rail Colour options;
Clear Anodised
Metallic Black
Mocha
White
White Birch</t>
        </r>
      </text>
    </comment>
    <comment ref="O22" authorId="0" shapeId="0" xr:uid="{00000000-0006-0000-0400-0000CC000000}">
      <text>
        <r>
          <rPr>
            <sz val="8"/>
            <color indexed="81"/>
            <rFont val="Tahoma"/>
            <family val="2"/>
          </rPr>
          <t>Control Options are;
Left
Right
When Bracket Type is Link Together, 
Left or Right can only be selected once per Linked Set.</t>
        </r>
      </text>
    </comment>
    <comment ref="Q22" authorId="0" shapeId="0" xr:uid="{00000000-0006-0000-0400-0000CD000000}">
      <text>
        <r>
          <rPr>
            <sz val="8"/>
            <color indexed="81"/>
            <rFont val="Tahoma"/>
            <family val="2"/>
          </rPr>
          <t>Chain Length options are; 
Default
500mm
750mm
1000mm
1250mm
1500mm
2000mm</t>
        </r>
      </text>
    </comment>
    <comment ref="R22" authorId="0" shapeId="0" xr:uid="{00000000-0006-0000-0400-0000CE000000}">
      <text>
        <r>
          <rPr>
            <sz val="8"/>
            <color indexed="81"/>
            <rFont val="Tahoma"/>
            <family val="2"/>
          </rPr>
          <t>Chain Colour options are; 
White
White Birch
Black
Nickel Plated Brass
Stainless Steel</t>
        </r>
      </text>
    </comment>
    <comment ref="S22" authorId="0" shapeId="0" xr:uid="{00000000-0006-0000-0400-0000CF000000}">
      <text>
        <r>
          <rPr>
            <sz val="8"/>
            <color indexed="81"/>
            <rFont val="Tahoma"/>
            <family val="2"/>
          </rPr>
          <t>When
 Standard or Common 
is selected the 
Pelmet Colour 
must be entered.</t>
        </r>
      </text>
    </comment>
    <comment ref="W22" authorId="0" shapeId="0" xr:uid="{00000000-0006-0000-0400-0000D0000000}">
      <text>
        <r>
          <rPr>
            <sz val="8"/>
            <color indexed="81"/>
            <rFont val="Tahoma"/>
            <family val="2"/>
          </rPr>
          <t>Bracket Options include:
All other options;
Standard
Double
Link
Double Link</t>
        </r>
      </text>
    </comment>
    <comment ref="X22" authorId="0" shapeId="0" xr:uid="{00000000-0006-0000-0400-0000D1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23" authorId="0" shapeId="0" xr:uid="{00000000-0006-0000-0400-0000D2000000}">
      <text>
        <r>
          <rPr>
            <sz val="8"/>
            <color indexed="81"/>
            <rFont val="Tahoma"/>
            <family val="2"/>
          </rPr>
          <t>Products options are;
London
Maui
Paris
Sunscreen</t>
        </r>
      </text>
    </comment>
    <comment ref="E23" authorId="0" shapeId="0" xr:uid="{00000000-0006-0000-0400-0000D3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23" authorId="0" shapeId="0" xr:uid="{00000000-0006-0000-0400-0000D4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3" authorId="0" shapeId="0" xr:uid="{00000000-0006-0000-0400-0000D5000000}">
      <text>
        <r>
          <rPr>
            <sz val="8"/>
            <color indexed="81"/>
            <rFont val="Tahoma"/>
            <family val="2"/>
          </rPr>
          <t xml:space="preserve">Minimum Height/Drop is 300mm.
Maximum Height/Drop is 3000mm. </t>
        </r>
      </text>
    </comment>
    <comment ref="H23" authorId="0" shapeId="0" xr:uid="{00000000-0006-0000-0400-0000D6000000}">
      <text>
        <r>
          <rPr>
            <sz val="8"/>
            <color indexed="81"/>
            <rFont val="Tahoma"/>
            <family val="2"/>
          </rPr>
          <t>When selecting a
Corner or Bay 
Window Type, 
the 
CMB Corner WS 
or 
CMB Bay WS 
must be completed.</t>
        </r>
      </text>
    </comment>
    <comment ref="J23" authorId="0" shapeId="0" xr:uid="{00000000-0006-0000-0400-0000D7000000}">
      <text>
        <r>
          <rPr>
            <sz val="8"/>
            <color indexed="81"/>
            <rFont val="Tahoma"/>
            <family val="2"/>
          </rPr>
          <t>ACT 
Actual Measurements
You have made the allowances.
NAM
No Allowances Made 
The factory will make the deductions.</t>
        </r>
      </text>
    </comment>
    <comment ref="M23" authorId="0" shapeId="0" xr:uid="{00000000-0006-0000-0400-0000D8000000}">
      <text>
        <r>
          <rPr>
            <sz val="8"/>
            <color indexed="81"/>
            <rFont val="Tahoma"/>
            <family val="2"/>
          </rPr>
          <t xml:space="preserve">
Bottom Rail Colour options;
Clear Anodised
Metallic Black
Mocha
White
White Birch</t>
        </r>
      </text>
    </comment>
    <comment ref="O23" authorId="0" shapeId="0" xr:uid="{00000000-0006-0000-0400-0000D9000000}">
      <text>
        <r>
          <rPr>
            <sz val="8"/>
            <color indexed="81"/>
            <rFont val="Tahoma"/>
            <family val="2"/>
          </rPr>
          <t>Control Options are;
Left
Right
When Bracket Type is Link Together, 
Left or Right can only be selected once per Linked Set.</t>
        </r>
      </text>
    </comment>
    <comment ref="Q23" authorId="0" shapeId="0" xr:uid="{00000000-0006-0000-0400-0000DA000000}">
      <text>
        <r>
          <rPr>
            <sz val="8"/>
            <color indexed="81"/>
            <rFont val="Tahoma"/>
            <family val="2"/>
          </rPr>
          <t>Chain Length options are; 
Default
500mm
750mm
1000mm
1250mm
1500mm
2000mm</t>
        </r>
      </text>
    </comment>
    <comment ref="R23" authorId="0" shapeId="0" xr:uid="{00000000-0006-0000-0400-0000DB000000}">
      <text>
        <r>
          <rPr>
            <sz val="8"/>
            <color indexed="81"/>
            <rFont val="Tahoma"/>
            <family val="2"/>
          </rPr>
          <t>Chain Colour options are; 
White
White Birch
Black
Nickel Plated Brass
Stainless Steel</t>
        </r>
      </text>
    </comment>
    <comment ref="S23" authorId="0" shapeId="0" xr:uid="{00000000-0006-0000-0400-0000DC000000}">
      <text>
        <r>
          <rPr>
            <sz val="8"/>
            <color indexed="81"/>
            <rFont val="Tahoma"/>
            <family val="2"/>
          </rPr>
          <t>When
 Standard or Common 
is selected the 
Pelmet Colour 
must be entered.</t>
        </r>
      </text>
    </comment>
    <comment ref="W23" authorId="0" shapeId="0" xr:uid="{00000000-0006-0000-0400-0000DD000000}">
      <text>
        <r>
          <rPr>
            <sz val="8"/>
            <color indexed="81"/>
            <rFont val="Tahoma"/>
            <family val="2"/>
          </rPr>
          <t>Bracket Options include:
All other options;
Standard
Double
Link
Double Link</t>
        </r>
      </text>
    </comment>
    <comment ref="X23" authorId="0" shapeId="0" xr:uid="{00000000-0006-0000-0400-0000DE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24" authorId="0" shapeId="0" xr:uid="{00000000-0006-0000-0400-0000DF000000}">
      <text>
        <r>
          <rPr>
            <sz val="8"/>
            <color indexed="81"/>
            <rFont val="Tahoma"/>
            <family val="2"/>
          </rPr>
          <t>Products options are;
London
Maui
Paris
Sunscreen</t>
        </r>
      </text>
    </comment>
    <comment ref="E24" authorId="0" shapeId="0" xr:uid="{00000000-0006-0000-0400-0000E0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24" authorId="0" shapeId="0" xr:uid="{00000000-0006-0000-0400-0000E1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4" authorId="0" shapeId="0" xr:uid="{00000000-0006-0000-0400-0000E2000000}">
      <text>
        <r>
          <rPr>
            <sz val="8"/>
            <color indexed="81"/>
            <rFont val="Tahoma"/>
            <family val="2"/>
          </rPr>
          <t xml:space="preserve">Minimum Height/Drop is 300mm.
Maximum Height/Drop is 3000mm. </t>
        </r>
      </text>
    </comment>
    <comment ref="H24" authorId="0" shapeId="0" xr:uid="{00000000-0006-0000-0400-0000E3000000}">
      <text>
        <r>
          <rPr>
            <sz val="8"/>
            <color indexed="81"/>
            <rFont val="Tahoma"/>
            <family val="2"/>
          </rPr>
          <t>When selecting a
Corner or Bay 
Window Type, 
the 
CMB Corner WS 
or 
CMB Bay WS 
must be completed.</t>
        </r>
      </text>
    </comment>
    <comment ref="J24" authorId="0" shapeId="0" xr:uid="{00000000-0006-0000-0400-0000E4000000}">
      <text>
        <r>
          <rPr>
            <sz val="8"/>
            <color indexed="81"/>
            <rFont val="Tahoma"/>
            <family val="2"/>
          </rPr>
          <t>ACT 
Actual Measurements
You have made the allowances.
NAM
No Allowances Made 
The factory will make the deductions.</t>
        </r>
      </text>
    </comment>
    <comment ref="M24" authorId="0" shapeId="0" xr:uid="{00000000-0006-0000-0400-0000E5000000}">
      <text>
        <r>
          <rPr>
            <sz val="8"/>
            <color indexed="81"/>
            <rFont val="Tahoma"/>
            <family val="2"/>
          </rPr>
          <t xml:space="preserve">
Bottom Rail Colour options;
Clear Anodised
Metallic Black
Mocha
White
White Birch</t>
        </r>
      </text>
    </comment>
    <comment ref="O24" authorId="0" shapeId="0" xr:uid="{00000000-0006-0000-0400-0000E6000000}">
      <text>
        <r>
          <rPr>
            <sz val="8"/>
            <color indexed="81"/>
            <rFont val="Tahoma"/>
            <family val="2"/>
          </rPr>
          <t>Control Options are;
Left
Right
When Bracket Type is Link Together, 
Left or Right can only be selected once per Linked Set.</t>
        </r>
      </text>
    </comment>
    <comment ref="Q24" authorId="0" shapeId="0" xr:uid="{00000000-0006-0000-0400-0000E7000000}">
      <text>
        <r>
          <rPr>
            <sz val="8"/>
            <color indexed="81"/>
            <rFont val="Tahoma"/>
            <family val="2"/>
          </rPr>
          <t>Chain Length options are; 
Default
500mm
750mm
1000mm
1250mm
1500mm
2000mm</t>
        </r>
      </text>
    </comment>
    <comment ref="R24" authorId="0" shapeId="0" xr:uid="{00000000-0006-0000-0400-0000E8000000}">
      <text>
        <r>
          <rPr>
            <sz val="8"/>
            <color indexed="81"/>
            <rFont val="Tahoma"/>
            <family val="2"/>
          </rPr>
          <t>Chain Colour options are; 
White
White Birch
Black
Nickel Plated Brass
Stainless Steel</t>
        </r>
      </text>
    </comment>
    <comment ref="S24" authorId="0" shapeId="0" xr:uid="{00000000-0006-0000-0400-0000E9000000}">
      <text>
        <r>
          <rPr>
            <sz val="8"/>
            <color indexed="81"/>
            <rFont val="Tahoma"/>
            <family val="2"/>
          </rPr>
          <t>When
 Standard or Common 
is selected the 
Pelmet Colour 
must be entered.</t>
        </r>
      </text>
    </comment>
    <comment ref="W24" authorId="0" shapeId="0" xr:uid="{00000000-0006-0000-0400-0000EA000000}">
      <text>
        <r>
          <rPr>
            <sz val="8"/>
            <color indexed="81"/>
            <rFont val="Tahoma"/>
            <family val="2"/>
          </rPr>
          <t>Bracket Options include:
All other options;
Standard
Double
Link
Double Link</t>
        </r>
      </text>
    </comment>
    <comment ref="X24" authorId="0" shapeId="0" xr:uid="{00000000-0006-0000-0400-0000EB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25" authorId="0" shapeId="0" xr:uid="{00000000-0006-0000-0400-0000EC000000}">
      <text>
        <r>
          <rPr>
            <sz val="8"/>
            <color indexed="81"/>
            <rFont val="Tahoma"/>
            <family val="2"/>
          </rPr>
          <t>Products options are;
London
Maui
Paris
Sunscreen</t>
        </r>
      </text>
    </comment>
    <comment ref="E25" authorId="0" shapeId="0" xr:uid="{00000000-0006-0000-0400-0000ED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25" authorId="0" shapeId="0" xr:uid="{00000000-0006-0000-0400-0000EE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5" authorId="0" shapeId="0" xr:uid="{00000000-0006-0000-0400-0000EF000000}">
      <text>
        <r>
          <rPr>
            <sz val="8"/>
            <color indexed="81"/>
            <rFont val="Tahoma"/>
            <family val="2"/>
          </rPr>
          <t xml:space="preserve">Minimum Height/Drop is 300mm.
Maximum Height/Drop is 3000mm. </t>
        </r>
      </text>
    </comment>
    <comment ref="H25" authorId="0" shapeId="0" xr:uid="{00000000-0006-0000-0400-0000F0000000}">
      <text>
        <r>
          <rPr>
            <sz val="8"/>
            <color indexed="81"/>
            <rFont val="Tahoma"/>
            <family val="2"/>
          </rPr>
          <t>When selecting a
Corner or Bay 
Window Type, 
the 
CMB Corner WS 
or 
CMB Bay WS 
must be completed.</t>
        </r>
      </text>
    </comment>
    <comment ref="J25" authorId="0" shapeId="0" xr:uid="{00000000-0006-0000-0400-0000F1000000}">
      <text>
        <r>
          <rPr>
            <sz val="8"/>
            <color indexed="81"/>
            <rFont val="Tahoma"/>
            <family val="2"/>
          </rPr>
          <t>ACT 
Actual Measurements
You have made the allowances.
NAM
No Allowances Made 
The factory will make the deductions.</t>
        </r>
      </text>
    </comment>
    <comment ref="M25" authorId="0" shapeId="0" xr:uid="{00000000-0006-0000-0400-0000F2000000}">
      <text>
        <r>
          <rPr>
            <sz val="8"/>
            <color indexed="81"/>
            <rFont val="Tahoma"/>
            <family val="2"/>
          </rPr>
          <t xml:space="preserve">
Bottom Rail Colour options;
Clear Anodised
Metallic Black
Mocha
White
White Birch</t>
        </r>
      </text>
    </comment>
    <comment ref="O25" authorId="0" shapeId="0" xr:uid="{00000000-0006-0000-0400-0000F3000000}">
      <text>
        <r>
          <rPr>
            <sz val="8"/>
            <color indexed="81"/>
            <rFont val="Tahoma"/>
            <family val="2"/>
          </rPr>
          <t>Control Options are;
Left
Right
When Bracket Type is Link Together, 
Left or Right can only be selected once per Linked Set.</t>
        </r>
      </text>
    </comment>
    <comment ref="Q25" authorId="0" shapeId="0" xr:uid="{00000000-0006-0000-0400-0000F4000000}">
      <text>
        <r>
          <rPr>
            <sz val="8"/>
            <color indexed="81"/>
            <rFont val="Tahoma"/>
            <family val="2"/>
          </rPr>
          <t>Chain Length options are; 
Default
500mm
750mm
1000mm
1250mm
1500mm
2000mm</t>
        </r>
      </text>
    </comment>
    <comment ref="R25" authorId="0" shapeId="0" xr:uid="{00000000-0006-0000-0400-0000F5000000}">
      <text>
        <r>
          <rPr>
            <sz val="8"/>
            <color indexed="81"/>
            <rFont val="Tahoma"/>
            <family val="2"/>
          </rPr>
          <t>Chain Colour options are; 
White
White Birch
Black
Nickel Plated Brass
Stainless Steel</t>
        </r>
      </text>
    </comment>
    <comment ref="S25" authorId="0" shapeId="0" xr:uid="{00000000-0006-0000-0400-0000F6000000}">
      <text>
        <r>
          <rPr>
            <sz val="8"/>
            <color indexed="81"/>
            <rFont val="Tahoma"/>
            <family val="2"/>
          </rPr>
          <t>When
 Standard or Common 
is selected the 
Pelmet Colour 
must be entered.</t>
        </r>
      </text>
    </comment>
    <comment ref="W25" authorId="0" shapeId="0" xr:uid="{00000000-0006-0000-0400-0000F7000000}">
      <text>
        <r>
          <rPr>
            <sz val="8"/>
            <color indexed="81"/>
            <rFont val="Tahoma"/>
            <family val="2"/>
          </rPr>
          <t>Bracket Options include:
All other options;
Standard
Double
Link
Double Link</t>
        </r>
      </text>
    </comment>
    <comment ref="X25" authorId="0" shapeId="0" xr:uid="{00000000-0006-0000-0400-0000F800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26" authorId="0" shapeId="0" xr:uid="{00000000-0006-0000-0400-0000F9000000}">
      <text>
        <r>
          <rPr>
            <sz val="8"/>
            <color indexed="81"/>
            <rFont val="Tahoma"/>
            <family val="2"/>
          </rPr>
          <t>Products options are;
London
Maui
Paris
Sunscreen</t>
        </r>
      </text>
    </comment>
    <comment ref="E26" authorId="0" shapeId="0" xr:uid="{00000000-0006-0000-0400-0000FA00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26" authorId="0" shapeId="0" xr:uid="{00000000-0006-0000-0400-0000FB00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6" authorId="0" shapeId="0" xr:uid="{00000000-0006-0000-0400-0000FC000000}">
      <text>
        <r>
          <rPr>
            <sz val="8"/>
            <color indexed="81"/>
            <rFont val="Tahoma"/>
            <family val="2"/>
          </rPr>
          <t xml:space="preserve">Minimum Height/Drop is 300mm.
Maximum Height/Drop is 3000mm. </t>
        </r>
      </text>
    </comment>
    <comment ref="H26" authorId="0" shapeId="0" xr:uid="{00000000-0006-0000-0400-0000FD000000}">
      <text>
        <r>
          <rPr>
            <sz val="8"/>
            <color indexed="81"/>
            <rFont val="Tahoma"/>
            <family val="2"/>
          </rPr>
          <t>When selecting a
Corner or Bay 
Window Type, 
the 
CMB Corner WS 
or 
CMB Bay WS 
must be completed.</t>
        </r>
      </text>
    </comment>
    <comment ref="J26" authorId="0" shapeId="0" xr:uid="{00000000-0006-0000-0400-0000FE000000}">
      <text>
        <r>
          <rPr>
            <sz val="8"/>
            <color indexed="81"/>
            <rFont val="Tahoma"/>
            <family val="2"/>
          </rPr>
          <t>ACT 
Actual Measurements
You have made the allowances.
NAM
No Allowances Made 
The factory will make the deductions.</t>
        </r>
      </text>
    </comment>
    <comment ref="M26" authorId="0" shapeId="0" xr:uid="{00000000-0006-0000-0400-0000FF000000}">
      <text>
        <r>
          <rPr>
            <sz val="8"/>
            <color indexed="81"/>
            <rFont val="Tahoma"/>
            <family val="2"/>
          </rPr>
          <t xml:space="preserve">
Bottom Rail Colour options;
Clear Anodised
Metallic Black
Mocha
White
White Birch</t>
        </r>
      </text>
    </comment>
    <comment ref="O26" authorId="0" shapeId="0" xr:uid="{00000000-0006-0000-0400-000000010000}">
      <text>
        <r>
          <rPr>
            <sz val="8"/>
            <color indexed="81"/>
            <rFont val="Tahoma"/>
            <family val="2"/>
          </rPr>
          <t>Control Options are;
Left
Right
When Bracket Type is Link Together, 
Left or Right can only be selected once per Linked Set.</t>
        </r>
      </text>
    </comment>
    <comment ref="Q26" authorId="0" shapeId="0" xr:uid="{00000000-0006-0000-0400-000001010000}">
      <text>
        <r>
          <rPr>
            <sz val="8"/>
            <color indexed="81"/>
            <rFont val="Tahoma"/>
            <family val="2"/>
          </rPr>
          <t>Chain Length options are; 
Default
500mm
750mm
1000mm
1250mm
1500mm
2000mm</t>
        </r>
      </text>
    </comment>
    <comment ref="R26" authorId="0" shapeId="0" xr:uid="{00000000-0006-0000-0400-000002010000}">
      <text>
        <r>
          <rPr>
            <sz val="8"/>
            <color indexed="81"/>
            <rFont val="Tahoma"/>
            <family val="2"/>
          </rPr>
          <t>Chain Colour options are; 
White
White Birch
Black
Nickel Plated Brass
Stainless Steel</t>
        </r>
      </text>
    </comment>
    <comment ref="S26" authorId="0" shapeId="0" xr:uid="{00000000-0006-0000-0400-000003010000}">
      <text>
        <r>
          <rPr>
            <sz val="8"/>
            <color indexed="81"/>
            <rFont val="Tahoma"/>
            <family val="2"/>
          </rPr>
          <t>When
 Standard or Common 
is selected the 
Pelmet Colour 
must be entered.</t>
        </r>
      </text>
    </comment>
    <comment ref="W26" authorId="0" shapeId="0" xr:uid="{00000000-0006-0000-0400-000004010000}">
      <text>
        <r>
          <rPr>
            <sz val="8"/>
            <color indexed="81"/>
            <rFont val="Tahoma"/>
            <family val="2"/>
          </rPr>
          <t>Bracket Options include:
All other options;
Standard
Double
Link
Double Link</t>
        </r>
      </text>
    </comment>
    <comment ref="X26" authorId="0" shapeId="0" xr:uid="{00000000-0006-0000-0400-000005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27" authorId="0" shapeId="0" xr:uid="{00000000-0006-0000-0400-000006010000}">
      <text>
        <r>
          <rPr>
            <sz val="8"/>
            <color indexed="81"/>
            <rFont val="Tahoma"/>
            <family val="2"/>
          </rPr>
          <t>Products options are;
London
Maui
Paris
Sunscreen</t>
        </r>
      </text>
    </comment>
    <comment ref="E27" authorId="0" shapeId="0" xr:uid="{00000000-0006-0000-0400-000007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27" authorId="0" shapeId="0" xr:uid="{00000000-0006-0000-0400-000008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7" authorId="0" shapeId="0" xr:uid="{00000000-0006-0000-0400-000009010000}">
      <text>
        <r>
          <rPr>
            <sz val="8"/>
            <color indexed="81"/>
            <rFont val="Tahoma"/>
            <family val="2"/>
          </rPr>
          <t xml:space="preserve">Minimum Height/Drop is 300mm.
Maximum Height/Drop is 3000mm. </t>
        </r>
      </text>
    </comment>
    <comment ref="H27" authorId="0" shapeId="0" xr:uid="{00000000-0006-0000-0400-00000A010000}">
      <text>
        <r>
          <rPr>
            <sz val="8"/>
            <color indexed="81"/>
            <rFont val="Tahoma"/>
            <family val="2"/>
          </rPr>
          <t>When selecting a
Corner or Bay 
Window Type, 
the 
CMB Corner WS 
or 
CMB Bay WS 
must be completed.</t>
        </r>
      </text>
    </comment>
    <comment ref="J27" authorId="0" shapeId="0" xr:uid="{00000000-0006-0000-0400-00000B010000}">
      <text>
        <r>
          <rPr>
            <sz val="8"/>
            <color indexed="81"/>
            <rFont val="Tahoma"/>
            <family val="2"/>
          </rPr>
          <t>ACT 
Actual Measurements
You have made the allowances.
NAM
No Allowances Made 
The factory will make the deductions.</t>
        </r>
      </text>
    </comment>
    <comment ref="M27" authorId="0" shapeId="0" xr:uid="{00000000-0006-0000-0400-00000C010000}">
      <text>
        <r>
          <rPr>
            <sz val="8"/>
            <color indexed="81"/>
            <rFont val="Tahoma"/>
            <family val="2"/>
          </rPr>
          <t xml:space="preserve">
Bottom Rail Colour options;
Clear Anodised
Metallic Black
Mocha
White
White Birch</t>
        </r>
      </text>
    </comment>
    <comment ref="O27" authorId="0" shapeId="0" xr:uid="{00000000-0006-0000-0400-00000D010000}">
      <text>
        <r>
          <rPr>
            <sz val="8"/>
            <color indexed="81"/>
            <rFont val="Tahoma"/>
            <family val="2"/>
          </rPr>
          <t>Control Options are;
Left
Right
When Bracket Type is Link Together, 
Left or Right can only be selected once per Linked Set.</t>
        </r>
      </text>
    </comment>
    <comment ref="Q27" authorId="0" shapeId="0" xr:uid="{00000000-0006-0000-0400-00000E010000}">
      <text>
        <r>
          <rPr>
            <sz val="8"/>
            <color indexed="81"/>
            <rFont val="Tahoma"/>
            <family val="2"/>
          </rPr>
          <t>Chain Length options are; 
Default
500mm
750mm
1000mm
1250mm
1500mm
2000mm</t>
        </r>
      </text>
    </comment>
    <comment ref="R27" authorId="0" shapeId="0" xr:uid="{00000000-0006-0000-0400-00000F010000}">
      <text>
        <r>
          <rPr>
            <sz val="8"/>
            <color indexed="81"/>
            <rFont val="Tahoma"/>
            <family val="2"/>
          </rPr>
          <t>Chain Colour options are; 
White
White Birch
Black
Nickel Plated Brass
Stainless Steel</t>
        </r>
      </text>
    </comment>
    <comment ref="S27" authorId="0" shapeId="0" xr:uid="{00000000-0006-0000-0400-000010010000}">
      <text>
        <r>
          <rPr>
            <sz val="8"/>
            <color indexed="81"/>
            <rFont val="Tahoma"/>
            <family val="2"/>
          </rPr>
          <t>When
 Standard or Common 
is selected the 
Pelmet Colour 
must be entered.</t>
        </r>
      </text>
    </comment>
    <comment ref="W27" authorId="0" shapeId="0" xr:uid="{00000000-0006-0000-0400-000011010000}">
      <text>
        <r>
          <rPr>
            <sz val="8"/>
            <color indexed="81"/>
            <rFont val="Tahoma"/>
            <family val="2"/>
          </rPr>
          <t>Bracket Options include:
All other options;
Standard
Double
Link
Double Link</t>
        </r>
      </text>
    </comment>
    <comment ref="X27" authorId="0" shapeId="0" xr:uid="{00000000-0006-0000-0400-000012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28" authorId="0" shapeId="0" xr:uid="{00000000-0006-0000-0400-000013010000}">
      <text>
        <r>
          <rPr>
            <sz val="8"/>
            <color indexed="81"/>
            <rFont val="Tahoma"/>
            <family val="2"/>
          </rPr>
          <t>Products options are;
London
Maui
Paris
Sunscreen</t>
        </r>
      </text>
    </comment>
    <comment ref="E28" authorId="0" shapeId="0" xr:uid="{00000000-0006-0000-0400-000014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28" authorId="0" shapeId="0" xr:uid="{00000000-0006-0000-0400-000015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8" authorId="0" shapeId="0" xr:uid="{00000000-0006-0000-0400-000016010000}">
      <text>
        <r>
          <rPr>
            <sz val="8"/>
            <color indexed="81"/>
            <rFont val="Tahoma"/>
            <family val="2"/>
          </rPr>
          <t xml:space="preserve">Minimum Height/Drop is 300mm.
Maximum Height/Drop is 3000mm. </t>
        </r>
      </text>
    </comment>
    <comment ref="H28" authorId="0" shapeId="0" xr:uid="{00000000-0006-0000-0400-000017010000}">
      <text>
        <r>
          <rPr>
            <sz val="8"/>
            <color indexed="81"/>
            <rFont val="Tahoma"/>
            <family val="2"/>
          </rPr>
          <t>When selecting a
Corner or Bay 
Window Type, 
the 
CMB Corner WS 
or 
CMB Bay WS 
must be completed.</t>
        </r>
      </text>
    </comment>
    <comment ref="J28" authorId="0" shapeId="0" xr:uid="{00000000-0006-0000-0400-000018010000}">
      <text>
        <r>
          <rPr>
            <sz val="8"/>
            <color indexed="81"/>
            <rFont val="Tahoma"/>
            <family val="2"/>
          </rPr>
          <t>ACT 
Actual Measurements
You have made the allowances.
NAM
No Allowances Made 
The factory will make the deductions.</t>
        </r>
      </text>
    </comment>
    <comment ref="M28" authorId="0" shapeId="0" xr:uid="{00000000-0006-0000-0400-000019010000}">
      <text>
        <r>
          <rPr>
            <sz val="8"/>
            <color indexed="81"/>
            <rFont val="Tahoma"/>
            <family val="2"/>
          </rPr>
          <t xml:space="preserve">
Bottom Rail Colour options;
Clear Anodised
Metallic Black
Mocha
White
White Birch</t>
        </r>
      </text>
    </comment>
    <comment ref="O28" authorId="0" shapeId="0" xr:uid="{00000000-0006-0000-0400-00001A010000}">
      <text>
        <r>
          <rPr>
            <sz val="8"/>
            <color indexed="81"/>
            <rFont val="Tahoma"/>
            <family val="2"/>
          </rPr>
          <t>Control Options are;
Left
Right
When Bracket Type is Link Together, 
Left or Right can only be selected once per Linked Set.</t>
        </r>
      </text>
    </comment>
    <comment ref="Q28" authorId="0" shapeId="0" xr:uid="{00000000-0006-0000-0400-00001B010000}">
      <text>
        <r>
          <rPr>
            <sz val="8"/>
            <color indexed="81"/>
            <rFont val="Tahoma"/>
            <family val="2"/>
          </rPr>
          <t>Chain Length options are; 
Default
500mm
750mm
1000mm
1250mm
1500mm
2000mm</t>
        </r>
      </text>
    </comment>
    <comment ref="R28" authorId="0" shapeId="0" xr:uid="{00000000-0006-0000-0400-00001C010000}">
      <text>
        <r>
          <rPr>
            <sz val="8"/>
            <color indexed="81"/>
            <rFont val="Tahoma"/>
            <family val="2"/>
          </rPr>
          <t>Chain Colour options are; 
White
White Birch
Black
Nickel Plated Brass
Stainless Steel</t>
        </r>
      </text>
    </comment>
    <comment ref="S28" authorId="0" shapeId="0" xr:uid="{00000000-0006-0000-0400-00001D010000}">
      <text>
        <r>
          <rPr>
            <sz val="8"/>
            <color indexed="81"/>
            <rFont val="Tahoma"/>
            <family val="2"/>
          </rPr>
          <t>When
 Standard or Common 
is selected the 
Pelmet Colour 
must be entered.</t>
        </r>
      </text>
    </comment>
    <comment ref="W28" authorId="0" shapeId="0" xr:uid="{00000000-0006-0000-0400-00001E010000}">
      <text>
        <r>
          <rPr>
            <sz val="8"/>
            <color indexed="81"/>
            <rFont val="Tahoma"/>
            <family val="2"/>
          </rPr>
          <t>Bracket Options include:
All other options;
Standard
Double
Link
Double Link</t>
        </r>
      </text>
    </comment>
    <comment ref="X28" authorId="0" shapeId="0" xr:uid="{00000000-0006-0000-0400-00001F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29" authorId="0" shapeId="0" xr:uid="{00000000-0006-0000-0400-000020010000}">
      <text>
        <r>
          <rPr>
            <sz val="8"/>
            <color indexed="81"/>
            <rFont val="Tahoma"/>
            <family val="2"/>
          </rPr>
          <t>Products options are;
London
Maui
Paris
Sunscreen</t>
        </r>
      </text>
    </comment>
    <comment ref="E29" authorId="0" shapeId="0" xr:uid="{00000000-0006-0000-0400-000021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29" authorId="0" shapeId="0" xr:uid="{00000000-0006-0000-0400-000022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9" authorId="0" shapeId="0" xr:uid="{00000000-0006-0000-0400-000023010000}">
      <text>
        <r>
          <rPr>
            <sz val="8"/>
            <color indexed="81"/>
            <rFont val="Tahoma"/>
            <family val="2"/>
          </rPr>
          <t xml:space="preserve">Minimum Height/Drop is 300mm.
Maximum Height/Drop is 3000mm. </t>
        </r>
      </text>
    </comment>
    <comment ref="H29" authorId="0" shapeId="0" xr:uid="{00000000-0006-0000-0400-000024010000}">
      <text>
        <r>
          <rPr>
            <sz val="8"/>
            <color indexed="81"/>
            <rFont val="Tahoma"/>
            <family val="2"/>
          </rPr>
          <t>When selecting a
Corner or Bay 
Window Type, 
the 
CMB Corner WS 
or 
CMB Bay WS 
must be completed.</t>
        </r>
      </text>
    </comment>
    <comment ref="J29" authorId="0" shapeId="0" xr:uid="{00000000-0006-0000-0400-000025010000}">
      <text>
        <r>
          <rPr>
            <sz val="8"/>
            <color indexed="81"/>
            <rFont val="Tahoma"/>
            <family val="2"/>
          </rPr>
          <t>ACT 
Actual Measurements
You have made the allowances.
NAM
No Allowances Made 
The factory will make the deductions.</t>
        </r>
      </text>
    </comment>
    <comment ref="M29" authorId="0" shapeId="0" xr:uid="{00000000-0006-0000-0400-000026010000}">
      <text>
        <r>
          <rPr>
            <sz val="8"/>
            <color indexed="81"/>
            <rFont val="Tahoma"/>
            <family val="2"/>
          </rPr>
          <t xml:space="preserve">
Bottom Rail Colour options;
Clear Anodised
Metallic Black
Mocha
White
White Birch</t>
        </r>
      </text>
    </comment>
    <comment ref="O29" authorId="0" shapeId="0" xr:uid="{00000000-0006-0000-0400-000027010000}">
      <text>
        <r>
          <rPr>
            <sz val="8"/>
            <color indexed="81"/>
            <rFont val="Tahoma"/>
            <family val="2"/>
          </rPr>
          <t>Control Options are;
Left
Right
When Bracket Type is Link Together, 
Left or Right can only be selected once per Linked Set.</t>
        </r>
      </text>
    </comment>
    <comment ref="Q29" authorId="0" shapeId="0" xr:uid="{00000000-0006-0000-0400-000028010000}">
      <text>
        <r>
          <rPr>
            <sz val="8"/>
            <color indexed="81"/>
            <rFont val="Tahoma"/>
            <family val="2"/>
          </rPr>
          <t>Chain Length options are; 
Default
500mm
750mm
1000mm
1250mm
1500mm
2000mm</t>
        </r>
      </text>
    </comment>
    <comment ref="R29" authorId="0" shapeId="0" xr:uid="{00000000-0006-0000-0400-000029010000}">
      <text>
        <r>
          <rPr>
            <sz val="8"/>
            <color indexed="81"/>
            <rFont val="Tahoma"/>
            <family val="2"/>
          </rPr>
          <t>Chain Colour options are; 
White
White Birch
Black
Nickel Plated Brass
Stainless Steel</t>
        </r>
      </text>
    </comment>
    <comment ref="S29" authorId="0" shapeId="0" xr:uid="{00000000-0006-0000-0400-00002A010000}">
      <text>
        <r>
          <rPr>
            <sz val="8"/>
            <color indexed="81"/>
            <rFont val="Tahoma"/>
            <family val="2"/>
          </rPr>
          <t>When
 Standard or Common 
is selected the 
Pelmet Colour 
must be entered.</t>
        </r>
      </text>
    </comment>
    <comment ref="W29" authorId="0" shapeId="0" xr:uid="{00000000-0006-0000-0400-00002B010000}">
      <text>
        <r>
          <rPr>
            <sz val="8"/>
            <color indexed="81"/>
            <rFont val="Tahoma"/>
            <family val="2"/>
          </rPr>
          <t>Bracket Options include:
All other options;
Standard
Double
Link
Double Link</t>
        </r>
      </text>
    </comment>
    <comment ref="X29" authorId="0" shapeId="0" xr:uid="{00000000-0006-0000-0400-00002C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30" authorId="0" shapeId="0" xr:uid="{00000000-0006-0000-0400-00002D010000}">
      <text>
        <r>
          <rPr>
            <sz val="8"/>
            <color indexed="81"/>
            <rFont val="Tahoma"/>
            <family val="2"/>
          </rPr>
          <t>Products options are;
London
Maui
Paris
Sunscreen</t>
        </r>
      </text>
    </comment>
    <comment ref="E30" authorId="0" shapeId="0" xr:uid="{00000000-0006-0000-0400-00002E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30" authorId="0" shapeId="0" xr:uid="{00000000-0006-0000-0400-00002F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0" authorId="0" shapeId="0" xr:uid="{00000000-0006-0000-0400-000030010000}">
      <text>
        <r>
          <rPr>
            <sz val="8"/>
            <color indexed="81"/>
            <rFont val="Tahoma"/>
            <family val="2"/>
          </rPr>
          <t xml:space="preserve">Minimum Height/Drop is 300mm.
Maximum Height/Drop is 3000mm. </t>
        </r>
      </text>
    </comment>
    <comment ref="H30" authorId="0" shapeId="0" xr:uid="{00000000-0006-0000-0400-000031010000}">
      <text>
        <r>
          <rPr>
            <sz val="8"/>
            <color indexed="81"/>
            <rFont val="Tahoma"/>
            <family val="2"/>
          </rPr>
          <t>When selecting a
Corner or Bay 
Window Type, 
the 
CMB Corner WS 
or 
CMB Bay WS 
must be completed.</t>
        </r>
      </text>
    </comment>
    <comment ref="J30" authorId="0" shapeId="0" xr:uid="{00000000-0006-0000-0400-000032010000}">
      <text>
        <r>
          <rPr>
            <sz val="8"/>
            <color indexed="81"/>
            <rFont val="Tahoma"/>
            <family val="2"/>
          </rPr>
          <t>ACT 
Actual Measurements
You have made the allowances.
NAM
No Allowances Made 
The factory will make the deductions.</t>
        </r>
      </text>
    </comment>
    <comment ref="M30" authorId="0" shapeId="0" xr:uid="{00000000-0006-0000-0400-000033010000}">
      <text>
        <r>
          <rPr>
            <sz val="8"/>
            <color indexed="81"/>
            <rFont val="Tahoma"/>
            <family val="2"/>
          </rPr>
          <t xml:space="preserve">
Bottom Rail Colour options;
Clear Anodised
Metallic Black
Mocha
White
White Birch</t>
        </r>
      </text>
    </comment>
    <comment ref="O30" authorId="0" shapeId="0" xr:uid="{00000000-0006-0000-0400-000034010000}">
      <text>
        <r>
          <rPr>
            <sz val="8"/>
            <color indexed="81"/>
            <rFont val="Tahoma"/>
            <family val="2"/>
          </rPr>
          <t>Control Options are;
Left
Right
When Bracket Type is Link Together, 
Left or Right can only be selected once per Linked Set.</t>
        </r>
      </text>
    </comment>
    <comment ref="Q30" authorId="0" shapeId="0" xr:uid="{00000000-0006-0000-0400-000035010000}">
      <text>
        <r>
          <rPr>
            <sz val="8"/>
            <color indexed="81"/>
            <rFont val="Tahoma"/>
            <family val="2"/>
          </rPr>
          <t>Chain Length options are; 
Default
500mm
750mm
1000mm
1250mm
1500mm
2000mm</t>
        </r>
      </text>
    </comment>
    <comment ref="R30" authorId="0" shapeId="0" xr:uid="{00000000-0006-0000-0400-000036010000}">
      <text>
        <r>
          <rPr>
            <sz val="8"/>
            <color indexed="81"/>
            <rFont val="Tahoma"/>
            <family val="2"/>
          </rPr>
          <t>Chain Colour options are; 
White
White Birch
Black
Nickel Plated Brass
Stainless Steel</t>
        </r>
      </text>
    </comment>
    <comment ref="S30" authorId="0" shapeId="0" xr:uid="{00000000-0006-0000-0400-000037010000}">
      <text>
        <r>
          <rPr>
            <sz val="8"/>
            <color indexed="81"/>
            <rFont val="Tahoma"/>
            <family val="2"/>
          </rPr>
          <t>When
 Standard or Common 
is selected the 
Pelmet Colour 
must be entered.</t>
        </r>
      </text>
    </comment>
    <comment ref="W30" authorId="0" shapeId="0" xr:uid="{00000000-0006-0000-0400-000038010000}">
      <text>
        <r>
          <rPr>
            <sz val="8"/>
            <color indexed="81"/>
            <rFont val="Tahoma"/>
            <family val="2"/>
          </rPr>
          <t>Bracket Options include:
All other options;
Standard
Double
Link
Double Link</t>
        </r>
      </text>
    </comment>
    <comment ref="X30" authorId="0" shapeId="0" xr:uid="{00000000-0006-0000-0400-000039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31" authorId="0" shapeId="0" xr:uid="{00000000-0006-0000-0400-00003A010000}">
      <text>
        <r>
          <rPr>
            <sz val="8"/>
            <color indexed="81"/>
            <rFont val="Tahoma"/>
            <family val="2"/>
          </rPr>
          <t>Products options are;
London
Maui
Paris
Sunscreen</t>
        </r>
      </text>
    </comment>
    <comment ref="E31" authorId="0" shapeId="0" xr:uid="{00000000-0006-0000-0400-00003B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31" authorId="0" shapeId="0" xr:uid="{00000000-0006-0000-0400-00003C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1" authorId="0" shapeId="0" xr:uid="{00000000-0006-0000-0400-00003D010000}">
      <text>
        <r>
          <rPr>
            <sz val="8"/>
            <color indexed="81"/>
            <rFont val="Tahoma"/>
            <family val="2"/>
          </rPr>
          <t xml:space="preserve">Minimum Height/Drop is 300mm.
Maximum Height/Drop is 3000mm. </t>
        </r>
      </text>
    </comment>
    <comment ref="H31" authorId="0" shapeId="0" xr:uid="{00000000-0006-0000-0400-00003E010000}">
      <text>
        <r>
          <rPr>
            <sz val="8"/>
            <color indexed="81"/>
            <rFont val="Tahoma"/>
            <family val="2"/>
          </rPr>
          <t>When selecting a
Corner or Bay 
Window Type, 
the 
CMB Corner WS 
or 
CMB Bay WS 
must be completed.</t>
        </r>
      </text>
    </comment>
    <comment ref="J31" authorId="0" shapeId="0" xr:uid="{00000000-0006-0000-0400-00003F010000}">
      <text>
        <r>
          <rPr>
            <sz val="8"/>
            <color indexed="81"/>
            <rFont val="Tahoma"/>
            <family val="2"/>
          </rPr>
          <t>ACT 
Actual Measurements
You have made the allowances.
NAM
No Allowances Made 
The factory will make the deductions.</t>
        </r>
      </text>
    </comment>
    <comment ref="M31" authorId="0" shapeId="0" xr:uid="{00000000-0006-0000-0400-000040010000}">
      <text>
        <r>
          <rPr>
            <sz val="8"/>
            <color indexed="81"/>
            <rFont val="Tahoma"/>
            <family val="2"/>
          </rPr>
          <t xml:space="preserve">
Bottom Rail Colour options;
Clear Anodised
Metallic Black
Mocha
White
White Birch</t>
        </r>
      </text>
    </comment>
    <comment ref="O31" authorId="0" shapeId="0" xr:uid="{00000000-0006-0000-0400-000041010000}">
      <text>
        <r>
          <rPr>
            <sz val="8"/>
            <color indexed="81"/>
            <rFont val="Tahoma"/>
            <family val="2"/>
          </rPr>
          <t>Control Options are;
Left
Right
When Bracket Type is Link Together, 
Left or Right can only be selected once per Linked Set.</t>
        </r>
      </text>
    </comment>
    <comment ref="Q31" authorId="0" shapeId="0" xr:uid="{00000000-0006-0000-0400-000042010000}">
      <text>
        <r>
          <rPr>
            <sz val="8"/>
            <color indexed="81"/>
            <rFont val="Tahoma"/>
            <family val="2"/>
          </rPr>
          <t>Chain Length options are; 
Default
500mm
750mm
1000mm
1250mm
1500mm
2000mm</t>
        </r>
      </text>
    </comment>
    <comment ref="R31" authorId="0" shapeId="0" xr:uid="{00000000-0006-0000-0400-000043010000}">
      <text>
        <r>
          <rPr>
            <sz val="8"/>
            <color indexed="81"/>
            <rFont val="Tahoma"/>
            <family val="2"/>
          </rPr>
          <t>Chain Colour options are; 
White
White Birch
Black
Nickel Plated Brass
Stainless Steel</t>
        </r>
      </text>
    </comment>
    <comment ref="S31" authorId="0" shapeId="0" xr:uid="{00000000-0006-0000-0400-000044010000}">
      <text>
        <r>
          <rPr>
            <sz val="8"/>
            <color indexed="81"/>
            <rFont val="Tahoma"/>
            <family val="2"/>
          </rPr>
          <t>When
 Standard or Common 
is selected the 
Pelmet Colour 
must be entered.</t>
        </r>
      </text>
    </comment>
    <comment ref="W31" authorId="0" shapeId="0" xr:uid="{00000000-0006-0000-0400-000045010000}">
      <text>
        <r>
          <rPr>
            <sz val="8"/>
            <color indexed="81"/>
            <rFont val="Tahoma"/>
            <family val="2"/>
          </rPr>
          <t>Bracket Options include:
All other options;
Standard
Double
Link
Double Link</t>
        </r>
      </text>
    </comment>
    <comment ref="X31" authorId="0" shapeId="0" xr:uid="{00000000-0006-0000-0400-000046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32" authorId="0" shapeId="0" xr:uid="{00000000-0006-0000-0400-000047010000}">
      <text>
        <r>
          <rPr>
            <sz val="8"/>
            <color indexed="81"/>
            <rFont val="Tahoma"/>
            <family val="2"/>
          </rPr>
          <t>Products options are;
London
Maui
Paris
Sunscreen</t>
        </r>
      </text>
    </comment>
    <comment ref="E32" authorId="0" shapeId="0" xr:uid="{00000000-0006-0000-0400-000048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32" authorId="0" shapeId="0" xr:uid="{00000000-0006-0000-0400-000049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2" authorId="0" shapeId="0" xr:uid="{00000000-0006-0000-0400-00004A010000}">
      <text>
        <r>
          <rPr>
            <sz val="8"/>
            <color indexed="81"/>
            <rFont val="Tahoma"/>
            <family val="2"/>
          </rPr>
          <t xml:space="preserve">Minimum Height/Drop is 300mm.
Maximum Height/Drop is 3000mm. </t>
        </r>
      </text>
    </comment>
    <comment ref="H32" authorId="0" shapeId="0" xr:uid="{00000000-0006-0000-0400-00004B010000}">
      <text>
        <r>
          <rPr>
            <sz val="8"/>
            <color indexed="81"/>
            <rFont val="Tahoma"/>
            <family val="2"/>
          </rPr>
          <t>When selecting a
Corner or Bay 
Window Type, 
the 
CMB Corner WS 
or 
CMB Bay WS 
must be completed.</t>
        </r>
      </text>
    </comment>
    <comment ref="J32" authorId="0" shapeId="0" xr:uid="{00000000-0006-0000-0400-00004C010000}">
      <text>
        <r>
          <rPr>
            <sz val="8"/>
            <color indexed="81"/>
            <rFont val="Tahoma"/>
            <family val="2"/>
          </rPr>
          <t>ACT 
Actual Measurements
You have made the allowances.
NAM
No Allowances Made 
The factory will make the deductions.</t>
        </r>
      </text>
    </comment>
    <comment ref="M32" authorId="0" shapeId="0" xr:uid="{00000000-0006-0000-0400-00004D010000}">
      <text>
        <r>
          <rPr>
            <sz val="8"/>
            <color indexed="81"/>
            <rFont val="Tahoma"/>
            <family val="2"/>
          </rPr>
          <t xml:space="preserve">
Bottom Rail Colour options;
Clear Anodised
Metallic Black
Mocha
White
White Birch</t>
        </r>
      </text>
    </comment>
    <comment ref="O32" authorId="0" shapeId="0" xr:uid="{00000000-0006-0000-0400-00004E010000}">
      <text>
        <r>
          <rPr>
            <sz val="8"/>
            <color indexed="81"/>
            <rFont val="Tahoma"/>
            <family val="2"/>
          </rPr>
          <t>Control Options are;
Left
Right
When Bracket Type is Link Together, 
Left or Right can only be selected once per Linked Set.</t>
        </r>
      </text>
    </comment>
    <comment ref="Q32" authorId="0" shapeId="0" xr:uid="{00000000-0006-0000-0400-00004F010000}">
      <text>
        <r>
          <rPr>
            <sz val="8"/>
            <color indexed="81"/>
            <rFont val="Tahoma"/>
            <family val="2"/>
          </rPr>
          <t>Chain Length options are; 
Default
500mm
750mm
1000mm
1250mm
1500mm
2000mm</t>
        </r>
      </text>
    </comment>
    <comment ref="R32" authorId="0" shapeId="0" xr:uid="{00000000-0006-0000-0400-000050010000}">
      <text>
        <r>
          <rPr>
            <sz val="8"/>
            <color indexed="81"/>
            <rFont val="Tahoma"/>
            <family val="2"/>
          </rPr>
          <t>Chain Colour options are; 
White
White Birch
Black
Nickel Plated Brass
Stainless Steel</t>
        </r>
      </text>
    </comment>
    <comment ref="S32" authorId="0" shapeId="0" xr:uid="{00000000-0006-0000-0400-000051010000}">
      <text>
        <r>
          <rPr>
            <sz val="8"/>
            <color indexed="81"/>
            <rFont val="Tahoma"/>
            <family val="2"/>
          </rPr>
          <t>When
 Standard or Common 
is selected the 
Pelmet Colour 
must be entered.</t>
        </r>
      </text>
    </comment>
    <comment ref="W32" authorId="0" shapeId="0" xr:uid="{00000000-0006-0000-0400-000052010000}">
      <text>
        <r>
          <rPr>
            <sz val="8"/>
            <color indexed="81"/>
            <rFont val="Tahoma"/>
            <family val="2"/>
          </rPr>
          <t>Bracket Options include:
All other options;
Standard
Double
Link
Double Link</t>
        </r>
      </text>
    </comment>
    <comment ref="X32" authorId="0" shapeId="0" xr:uid="{00000000-0006-0000-0400-000053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33" authorId="0" shapeId="0" xr:uid="{00000000-0006-0000-0400-000054010000}">
      <text>
        <r>
          <rPr>
            <sz val="8"/>
            <color indexed="81"/>
            <rFont val="Tahoma"/>
            <family val="2"/>
          </rPr>
          <t>Products options are;
London
Maui
Paris
Sunscreen</t>
        </r>
      </text>
    </comment>
    <comment ref="E33" authorId="0" shapeId="0" xr:uid="{00000000-0006-0000-0400-000055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33" authorId="0" shapeId="0" xr:uid="{00000000-0006-0000-0400-000056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3" authorId="0" shapeId="0" xr:uid="{00000000-0006-0000-0400-000057010000}">
      <text>
        <r>
          <rPr>
            <sz val="8"/>
            <color indexed="81"/>
            <rFont val="Tahoma"/>
            <family val="2"/>
          </rPr>
          <t xml:space="preserve">Minimum Height/Drop is 300mm.
Maximum Height/Drop is 3000mm. </t>
        </r>
      </text>
    </comment>
    <comment ref="H33" authorId="0" shapeId="0" xr:uid="{00000000-0006-0000-0400-000058010000}">
      <text>
        <r>
          <rPr>
            <sz val="8"/>
            <color indexed="81"/>
            <rFont val="Tahoma"/>
            <family val="2"/>
          </rPr>
          <t>When selecting a
Corner or Bay 
Window Type, 
the 
CMB Corner WS 
or 
CMB Bay WS 
must be completed.</t>
        </r>
      </text>
    </comment>
    <comment ref="J33" authorId="0" shapeId="0" xr:uid="{00000000-0006-0000-0400-000059010000}">
      <text>
        <r>
          <rPr>
            <sz val="8"/>
            <color indexed="81"/>
            <rFont val="Tahoma"/>
            <family val="2"/>
          </rPr>
          <t>ACT 
Actual Measurements
You have made the allowances.
NAM
No Allowances Made 
The factory will make the deductions.</t>
        </r>
      </text>
    </comment>
    <comment ref="M33" authorId="0" shapeId="0" xr:uid="{00000000-0006-0000-0400-00005A010000}">
      <text>
        <r>
          <rPr>
            <sz val="8"/>
            <color indexed="81"/>
            <rFont val="Tahoma"/>
            <family val="2"/>
          </rPr>
          <t xml:space="preserve">
Bottom Rail Colour options;
Clear Anodised
Metallic Black
Mocha
White
White Birch</t>
        </r>
      </text>
    </comment>
    <comment ref="O33" authorId="0" shapeId="0" xr:uid="{00000000-0006-0000-0400-00005B010000}">
      <text>
        <r>
          <rPr>
            <sz val="8"/>
            <color indexed="81"/>
            <rFont val="Tahoma"/>
            <family val="2"/>
          </rPr>
          <t>Control Options are;
Left
Right
When Bracket Type is Link Together, 
Left or Right can only be selected once per Linked Set.</t>
        </r>
      </text>
    </comment>
    <comment ref="Q33" authorId="0" shapeId="0" xr:uid="{00000000-0006-0000-0400-00005C010000}">
      <text>
        <r>
          <rPr>
            <sz val="8"/>
            <color indexed="81"/>
            <rFont val="Tahoma"/>
            <family val="2"/>
          </rPr>
          <t>Chain Length options are; 
Default
500mm
750mm
1000mm
1250mm
1500mm
2000mm</t>
        </r>
      </text>
    </comment>
    <comment ref="R33" authorId="0" shapeId="0" xr:uid="{00000000-0006-0000-0400-00005D010000}">
      <text>
        <r>
          <rPr>
            <sz val="8"/>
            <color indexed="81"/>
            <rFont val="Tahoma"/>
            <family val="2"/>
          </rPr>
          <t>Chain Colour options are; 
White
White Birch
Black
Nickel Plated Brass
Stainless Steel</t>
        </r>
      </text>
    </comment>
    <comment ref="S33" authorId="0" shapeId="0" xr:uid="{00000000-0006-0000-0400-00005E010000}">
      <text>
        <r>
          <rPr>
            <sz val="8"/>
            <color indexed="81"/>
            <rFont val="Tahoma"/>
            <family val="2"/>
          </rPr>
          <t>When
 Standard or Common 
is selected the 
Pelmet Colour 
must be entered.</t>
        </r>
      </text>
    </comment>
    <comment ref="W33" authorId="0" shapeId="0" xr:uid="{00000000-0006-0000-0400-00005F010000}">
      <text>
        <r>
          <rPr>
            <sz val="8"/>
            <color indexed="81"/>
            <rFont val="Tahoma"/>
            <family val="2"/>
          </rPr>
          <t>Bracket Options include:
All other options;
Standard
Double
Link
Double Link</t>
        </r>
      </text>
    </comment>
    <comment ref="X33" authorId="0" shapeId="0" xr:uid="{00000000-0006-0000-0400-000060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34" authorId="0" shapeId="0" xr:uid="{00000000-0006-0000-0400-000061010000}">
      <text>
        <r>
          <rPr>
            <sz val="8"/>
            <color indexed="81"/>
            <rFont val="Tahoma"/>
            <family val="2"/>
          </rPr>
          <t>Products options are;
London
Maui
Paris
Sunscreen</t>
        </r>
      </text>
    </comment>
    <comment ref="E34" authorId="0" shapeId="0" xr:uid="{00000000-0006-0000-0400-000062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34" authorId="0" shapeId="0" xr:uid="{00000000-0006-0000-0400-000063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4" authorId="0" shapeId="0" xr:uid="{00000000-0006-0000-0400-000064010000}">
      <text>
        <r>
          <rPr>
            <sz val="8"/>
            <color indexed="81"/>
            <rFont val="Tahoma"/>
            <family val="2"/>
          </rPr>
          <t xml:space="preserve">Minimum Height/Drop is 300mm.
Maximum Height/Drop is 3000mm. </t>
        </r>
      </text>
    </comment>
    <comment ref="H34" authorId="0" shapeId="0" xr:uid="{00000000-0006-0000-0400-000065010000}">
      <text>
        <r>
          <rPr>
            <sz val="8"/>
            <color indexed="81"/>
            <rFont val="Tahoma"/>
            <family val="2"/>
          </rPr>
          <t>When selecting a
Corner or Bay 
Window Type, 
the 
CMB Corner WS 
or 
CMB Bay WS 
must be completed.</t>
        </r>
      </text>
    </comment>
    <comment ref="J34" authorId="0" shapeId="0" xr:uid="{00000000-0006-0000-0400-000066010000}">
      <text>
        <r>
          <rPr>
            <sz val="8"/>
            <color indexed="81"/>
            <rFont val="Tahoma"/>
            <family val="2"/>
          </rPr>
          <t>ACT 
Actual Measurements
You have made the allowances.
NAM
No Allowances Made 
The factory will make the deductions.</t>
        </r>
      </text>
    </comment>
    <comment ref="M34" authorId="0" shapeId="0" xr:uid="{00000000-0006-0000-0400-000067010000}">
      <text>
        <r>
          <rPr>
            <sz val="8"/>
            <color indexed="81"/>
            <rFont val="Tahoma"/>
            <family val="2"/>
          </rPr>
          <t xml:space="preserve">
Bottom Rail Colour options;
Clear Anodised
Metallic Black
Mocha
White
White Birch</t>
        </r>
      </text>
    </comment>
    <comment ref="O34" authorId="0" shapeId="0" xr:uid="{00000000-0006-0000-0400-000068010000}">
      <text>
        <r>
          <rPr>
            <sz val="8"/>
            <color indexed="81"/>
            <rFont val="Tahoma"/>
            <family val="2"/>
          </rPr>
          <t>Control Options are;
Left
Right
When Bracket Type is Link Together, 
Left or Right can only be selected once per Linked Set.</t>
        </r>
      </text>
    </comment>
    <comment ref="Q34" authorId="0" shapeId="0" xr:uid="{00000000-0006-0000-0400-000069010000}">
      <text>
        <r>
          <rPr>
            <sz val="8"/>
            <color indexed="81"/>
            <rFont val="Tahoma"/>
            <family val="2"/>
          </rPr>
          <t>Chain Length options are; 
Default
500mm
750mm
1000mm
1250mm
1500mm
2000mm</t>
        </r>
      </text>
    </comment>
    <comment ref="R34" authorId="0" shapeId="0" xr:uid="{00000000-0006-0000-0400-00006A010000}">
      <text>
        <r>
          <rPr>
            <sz val="8"/>
            <color indexed="81"/>
            <rFont val="Tahoma"/>
            <family val="2"/>
          </rPr>
          <t>Chain Colour options are; 
White
White Birch
Black
Nickel Plated Brass
Stainless Steel</t>
        </r>
      </text>
    </comment>
    <comment ref="S34" authorId="0" shapeId="0" xr:uid="{00000000-0006-0000-0400-00006B010000}">
      <text>
        <r>
          <rPr>
            <sz val="8"/>
            <color indexed="81"/>
            <rFont val="Tahoma"/>
            <family val="2"/>
          </rPr>
          <t>When
 Standard or Common 
is selected the 
Pelmet Colour 
must be entered.</t>
        </r>
      </text>
    </comment>
    <comment ref="W34" authorId="0" shapeId="0" xr:uid="{00000000-0006-0000-0400-00006C010000}">
      <text>
        <r>
          <rPr>
            <sz val="8"/>
            <color indexed="81"/>
            <rFont val="Tahoma"/>
            <family val="2"/>
          </rPr>
          <t>Bracket Options include:
All other options;
Standard
Double
Link
Double Link</t>
        </r>
      </text>
    </comment>
    <comment ref="X34" authorId="0" shapeId="0" xr:uid="{00000000-0006-0000-0400-00006D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35" authorId="0" shapeId="0" xr:uid="{00000000-0006-0000-0400-00006E010000}">
      <text>
        <r>
          <rPr>
            <sz val="8"/>
            <color indexed="81"/>
            <rFont val="Tahoma"/>
            <family val="2"/>
          </rPr>
          <t>Products options are;
London
Maui
Paris
Sunscreen</t>
        </r>
      </text>
    </comment>
    <comment ref="E35" authorId="0" shapeId="0" xr:uid="{00000000-0006-0000-0400-00006F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35" authorId="0" shapeId="0" xr:uid="{00000000-0006-0000-0400-000070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5" authorId="0" shapeId="0" xr:uid="{00000000-0006-0000-0400-000071010000}">
      <text>
        <r>
          <rPr>
            <sz val="8"/>
            <color indexed="81"/>
            <rFont val="Tahoma"/>
            <family val="2"/>
          </rPr>
          <t xml:space="preserve">Minimum Height/Drop is 300mm.
Maximum Height/Drop is 3000mm. </t>
        </r>
      </text>
    </comment>
    <comment ref="H35" authorId="0" shapeId="0" xr:uid="{00000000-0006-0000-0400-000072010000}">
      <text>
        <r>
          <rPr>
            <sz val="8"/>
            <color indexed="81"/>
            <rFont val="Tahoma"/>
            <family val="2"/>
          </rPr>
          <t>When selecting a
Corner or Bay 
Window Type, 
the 
CMB Corner WS 
or 
CMB Bay WS 
must be completed.</t>
        </r>
      </text>
    </comment>
    <comment ref="J35" authorId="0" shapeId="0" xr:uid="{00000000-0006-0000-0400-000073010000}">
      <text>
        <r>
          <rPr>
            <sz val="8"/>
            <color indexed="81"/>
            <rFont val="Tahoma"/>
            <family val="2"/>
          </rPr>
          <t>ACT 
Actual Measurements
You have made the allowances.
NAM
No Allowances Made 
The factory will make the deductions.</t>
        </r>
      </text>
    </comment>
    <comment ref="M35" authorId="0" shapeId="0" xr:uid="{00000000-0006-0000-0400-000074010000}">
      <text>
        <r>
          <rPr>
            <sz val="8"/>
            <color indexed="81"/>
            <rFont val="Tahoma"/>
            <family val="2"/>
          </rPr>
          <t xml:space="preserve">
Bottom Rail Colour options;
Clear Anodised
Metallic Black
Mocha
White
White Birch</t>
        </r>
      </text>
    </comment>
    <comment ref="O35" authorId="0" shapeId="0" xr:uid="{00000000-0006-0000-0400-000075010000}">
      <text>
        <r>
          <rPr>
            <sz val="8"/>
            <color indexed="81"/>
            <rFont val="Tahoma"/>
            <family val="2"/>
          </rPr>
          <t>Control Options are;
Left
Right
When Bracket Type is Link Together, 
Left or Right can only be selected once per Linked Set.</t>
        </r>
      </text>
    </comment>
    <comment ref="Q35" authorId="0" shapeId="0" xr:uid="{00000000-0006-0000-0400-000076010000}">
      <text>
        <r>
          <rPr>
            <sz val="8"/>
            <color indexed="81"/>
            <rFont val="Tahoma"/>
            <family val="2"/>
          </rPr>
          <t>Chain Length options are; 
Default
500mm
750mm
1000mm
1250mm
1500mm
2000mm</t>
        </r>
      </text>
    </comment>
    <comment ref="R35" authorId="0" shapeId="0" xr:uid="{00000000-0006-0000-0400-000077010000}">
      <text>
        <r>
          <rPr>
            <sz val="8"/>
            <color indexed="81"/>
            <rFont val="Tahoma"/>
            <family val="2"/>
          </rPr>
          <t>Chain Colour options are; 
White
White Birch
Black
Nickel Plated Brass
Stainless Steel</t>
        </r>
      </text>
    </comment>
    <comment ref="S35" authorId="0" shapeId="0" xr:uid="{00000000-0006-0000-0400-000078010000}">
      <text>
        <r>
          <rPr>
            <sz val="8"/>
            <color indexed="81"/>
            <rFont val="Tahoma"/>
            <family val="2"/>
          </rPr>
          <t>When
 Standard or Common 
is selected the 
Pelmet Colour 
must be entered.</t>
        </r>
      </text>
    </comment>
    <comment ref="W35" authorId="0" shapeId="0" xr:uid="{00000000-0006-0000-0400-000079010000}">
      <text>
        <r>
          <rPr>
            <sz val="8"/>
            <color indexed="81"/>
            <rFont val="Tahoma"/>
            <family val="2"/>
          </rPr>
          <t>Bracket Options include:
All other options;
Standard
Double
Link
Double Link</t>
        </r>
      </text>
    </comment>
    <comment ref="X35" authorId="0" shapeId="0" xr:uid="{00000000-0006-0000-0400-00007A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36" authorId="0" shapeId="0" xr:uid="{00000000-0006-0000-0400-00007B010000}">
      <text>
        <r>
          <rPr>
            <sz val="8"/>
            <color indexed="81"/>
            <rFont val="Tahoma"/>
            <family val="2"/>
          </rPr>
          <t>Products options are;
London
Maui
Paris
Sunscreen</t>
        </r>
      </text>
    </comment>
    <comment ref="E36" authorId="0" shapeId="0" xr:uid="{00000000-0006-0000-0400-00007C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36" authorId="0" shapeId="0" xr:uid="{00000000-0006-0000-0400-00007D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6" authorId="0" shapeId="0" xr:uid="{00000000-0006-0000-0400-00007E010000}">
      <text>
        <r>
          <rPr>
            <sz val="8"/>
            <color indexed="81"/>
            <rFont val="Tahoma"/>
            <family val="2"/>
          </rPr>
          <t xml:space="preserve">Minimum Height/Drop is 300mm.
Maximum Height/Drop is 3000mm. </t>
        </r>
      </text>
    </comment>
    <comment ref="H36" authorId="0" shapeId="0" xr:uid="{00000000-0006-0000-0400-00007F010000}">
      <text>
        <r>
          <rPr>
            <sz val="8"/>
            <color indexed="81"/>
            <rFont val="Tahoma"/>
            <family val="2"/>
          </rPr>
          <t>When selecting a
Corner or Bay 
Window Type, 
the 
CMB Corner WS 
or 
CMB Bay WS 
must be completed.</t>
        </r>
      </text>
    </comment>
    <comment ref="J36" authorId="0" shapeId="0" xr:uid="{00000000-0006-0000-0400-000080010000}">
      <text>
        <r>
          <rPr>
            <sz val="8"/>
            <color indexed="81"/>
            <rFont val="Tahoma"/>
            <family val="2"/>
          </rPr>
          <t>ACT 
Actual Measurements
You have made the allowances.
NAM
No Allowances Made 
The factory will make the deductions.</t>
        </r>
      </text>
    </comment>
    <comment ref="M36" authorId="0" shapeId="0" xr:uid="{00000000-0006-0000-0400-000081010000}">
      <text>
        <r>
          <rPr>
            <sz val="8"/>
            <color indexed="81"/>
            <rFont val="Tahoma"/>
            <family val="2"/>
          </rPr>
          <t xml:space="preserve">
Bottom Rail Colour options;
Clear Anodised
Metallic Black
Mocha
White
White Birch</t>
        </r>
      </text>
    </comment>
    <comment ref="O36" authorId="0" shapeId="0" xr:uid="{00000000-0006-0000-0400-000082010000}">
      <text>
        <r>
          <rPr>
            <sz val="8"/>
            <color indexed="81"/>
            <rFont val="Tahoma"/>
            <family val="2"/>
          </rPr>
          <t>Control Options are;
Left
Right
When Bracket Type is Link Together, 
Left or Right can only be selected once per Linked Set.</t>
        </r>
      </text>
    </comment>
    <comment ref="Q36" authorId="0" shapeId="0" xr:uid="{00000000-0006-0000-0400-000083010000}">
      <text>
        <r>
          <rPr>
            <sz val="8"/>
            <color indexed="81"/>
            <rFont val="Tahoma"/>
            <family val="2"/>
          </rPr>
          <t>Chain Length options are; 
Default
500mm
750mm
1000mm
1250mm
1500mm
2000mm</t>
        </r>
      </text>
    </comment>
    <comment ref="R36" authorId="0" shapeId="0" xr:uid="{00000000-0006-0000-0400-000084010000}">
      <text>
        <r>
          <rPr>
            <sz val="8"/>
            <color indexed="81"/>
            <rFont val="Tahoma"/>
            <family val="2"/>
          </rPr>
          <t>Chain Colour options are; 
White
White Birch
Black
Nickel Plated Brass
Stainless Steel</t>
        </r>
      </text>
    </comment>
    <comment ref="S36" authorId="0" shapeId="0" xr:uid="{00000000-0006-0000-0400-000085010000}">
      <text>
        <r>
          <rPr>
            <sz val="8"/>
            <color indexed="81"/>
            <rFont val="Tahoma"/>
            <family val="2"/>
          </rPr>
          <t>When
 Standard or Common 
is selected the 
Pelmet Colour 
must be entered.</t>
        </r>
      </text>
    </comment>
    <comment ref="W36" authorId="0" shapeId="0" xr:uid="{00000000-0006-0000-0400-000086010000}">
      <text>
        <r>
          <rPr>
            <sz val="8"/>
            <color indexed="81"/>
            <rFont val="Tahoma"/>
            <family val="2"/>
          </rPr>
          <t>Bracket Options include:
All other options;
Standard
Double
Link
Double Link</t>
        </r>
      </text>
    </comment>
    <comment ref="X36" authorId="0" shapeId="0" xr:uid="{00000000-0006-0000-0400-000087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37" authorId="0" shapeId="0" xr:uid="{00000000-0006-0000-0400-000088010000}">
      <text>
        <r>
          <rPr>
            <sz val="8"/>
            <color indexed="81"/>
            <rFont val="Tahoma"/>
            <family val="2"/>
          </rPr>
          <t>Products options are;
London
Maui
Paris
Sunscreen</t>
        </r>
      </text>
    </comment>
    <comment ref="E37" authorId="0" shapeId="0" xr:uid="{00000000-0006-0000-0400-000089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37" authorId="0" shapeId="0" xr:uid="{00000000-0006-0000-0400-00008A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7" authorId="0" shapeId="0" xr:uid="{00000000-0006-0000-0400-00008B010000}">
      <text>
        <r>
          <rPr>
            <sz val="8"/>
            <color indexed="81"/>
            <rFont val="Tahoma"/>
            <family val="2"/>
          </rPr>
          <t xml:space="preserve">Minimum Height/Drop is 300mm.
Maximum Height/Drop is 3000mm. </t>
        </r>
      </text>
    </comment>
    <comment ref="H37" authorId="0" shapeId="0" xr:uid="{00000000-0006-0000-0400-00008C010000}">
      <text>
        <r>
          <rPr>
            <sz val="8"/>
            <color indexed="81"/>
            <rFont val="Tahoma"/>
            <family val="2"/>
          </rPr>
          <t>When selecting a
Corner or Bay 
Window Type, 
the 
CMB Corner WS 
or 
CMB Bay WS 
must be completed.</t>
        </r>
      </text>
    </comment>
    <comment ref="J37" authorId="0" shapeId="0" xr:uid="{00000000-0006-0000-0400-00008D010000}">
      <text>
        <r>
          <rPr>
            <sz val="8"/>
            <color indexed="81"/>
            <rFont val="Tahoma"/>
            <family val="2"/>
          </rPr>
          <t>ACT 
Actual Measurements
You have made the allowances.
NAM
No Allowances Made 
The factory will make the deductions.</t>
        </r>
      </text>
    </comment>
    <comment ref="M37" authorId="0" shapeId="0" xr:uid="{00000000-0006-0000-0400-00008E010000}">
      <text>
        <r>
          <rPr>
            <sz val="8"/>
            <color indexed="81"/>
            <rFont val="Tahoma"/>
            <family val="2"/>
          </rPr>
          <t xml:space="preserve">
Bottom Rail Colour options;
Clear Anodised
Metallic Black
Mocha
White
White Birch</t>
        </r>
      </text>
    </comment>
    <comment ref="O37" authorId="0" shapeId="0" xr:uid="{00000000-0006-0000-0400-00008F010000}">
      <text>
        <r>
          <rPr>
            <sz val="8"/>
            <color indexed="81"/>
            <rFont val="Tahoma"/>
            <family val="2"/>
          </rPr>
          <t>Control Options are;
Left
Right
When Bracket Type is Link Together, 
Left or Right can only be selected once per Linked Set.</t>
        </r>
      </text>
    </comment>
    <comment ref="Q37" authorId="0" shapeId="0" xr:uid="{00000000-0006-0000-0400-000090010000}">
      <text>
        <r>
          <rPr>
            <sz val="8"/>
            <color indexed="81"/>
            <rFont val="Tahoma"/>
            <family val="2"/>
          </rPr>
          <t>Chain Length options are; 
Default
500mm
750mm
1000mm
1250mm
1500mm
2000mm</t>
        </r>
      </text>
    </comment>
    <comment ref="R37" authorId="0" shapeId="0" xr:uid="{00000000-0006-0000-0400-000091010000}">
      <text>
        <r>
          <rPr>
            <sz val="8"/>
            <color indexed="81"/>
            <rFont val="Tahoma"/>
            <family val="2"/>
          </rPr>
          <t>Chain Colour options are; 
White
White Birch
Black
Nickel Plated Brass
Stainless Steel</t>
        </r>
      </text>
    </comment>
    <comment ref="S37" authorId="0" shapeId="0" xr:uid="{00000000-0006-0000-0400-000092010000}">
      <text>
        <r>
          <rPr>
            <sz val="8"/>
            <color indexed="81"/>
            <rFont val="Tahoma"/>
            <family val="2"/>
          </rPr>
          <t>When
 Standard or Common 
is selected the 
Pelmet Colour 
must be entered.</t>
        </r>
      </text>
    </comment>
    <comment ref="W37" authorId="0" shapeId="0" xr:uid="{00000000-0006-0000-0400-000093010000}">
      <text>
        <r>
          <rPr>
            <sz val="8"/>
            <color indexed="81"/>
            <rFont val="Tahoma"/>
            <family val="2"/>
          </rPr>
          <t>Bracket Options include:
All other options;
Standard
Double
Link
Double Link</t>
        </r>
      </text>
    </comment>
    <comment ref="X37" authorId="0" shapeId="0" xr:uid="{00000000-0006-0000-0400-000094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38" authorId="0" shapeId="0" xr:uid="{00000000-0006-0000-0400-000095010000}">
      <text>
        <r>
          <rPr>
            <sz val="8"/>
            <color indexed="81"/>
            <rFont val="Tahoma"/>
            <family val="2"/>
          </rPr>
          <t>Products options are;
London
Maui
Paris
Sunscreen</t>
        </r>
      </text>
    </comment>
    <comment ref="E38" authorId="0" shapeId="0" xr:uid="{00000000-0006-0000-0400-000096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38" authorId="0" shapeId="0" xr:uid="{00000000-0006-0000-0400-000097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8" authorId="0" shapeId="0" xr:uid="{00000000-0006-0000-0400-000098010000}">
      <text>
        <r>
          <rPr>
            <sz val="8"/>
            <color indexed="81"/>
            <rFont val="Tahoma"/>
            <family val="2"/>
          </rPr>
          <t xml:space="preserve">Minimum Height/Drop is 300mm.
Maximum Height/Drop is 3000mm. </t>
        </r>
      </text>
    </comment>
    <comment ref="H38" authorId="0" shapeId="0" xr:uid="{00000000-0006-0000-0400-000099010000}">
      <text>
        <r>
          <rPr>
            <sz val="8"/>
            <color indexed="81"/>
            <rFont val="Tahoma"/>
            <family val="2"/>
          </rPr>
          <t>When selecting a
Corner or Bay 
Window Type, 
the 
CMB Corner WS 
or 
CMB Bay WS 
must be completed.</t>
        </r>
      </text>
    </comment>
    <comment ref="J38" authorId="0" shapeId="0" xr:uid="{00000000-0006-0000-0400-00009A010000}">
      <text>
        <r>
          <rPr>
            <sz val="8"/>
            <color indexed="81"/>
            <rFont val="Tahoma"/>
            <family val="2"/>
          </rPr>
          <t>ACT 
Actual Measurements
You have made the allowances.
NAM
No Allowances Made 
The factory will make the deductions.</t>
        </r>
      </text>
    </comment>
    <comment ref="M38" authorId="0" shapeId="0" xr:uid="{00000000-0006-0000-0400-00009B010000}">
      <text>
        <r>
          <rPr>
            <sz val="8"/>
            <color indexed="81"/>
            <rFont val="Tahoma"/>
            <family val="2"/>
          </rPr>
          <t xml:space="preserve">
Bottom Rail Colour options;
Clear Anodised
Metallic Black
Mocha
White
White Birch</t>
        </r>
      </text>
    </comment>
    <comment ref="O38" authorId="0" shapeId="0" xr:uid="{00000000-0006-0000-0400-00009C010000}">
      <text>
        <r>
          <rPr>
            <sz val="8"/>
            <color indexed="81"/>
            <rFont val="Tahoma"/>
            <family val="2"/>
          </rPr>
          <t>Control Options are;
Left
Right
When Bracket Type is Link Together, 
Left or Right can only be selected once per Linked Set.</t>
        </r>
      </text>
    </comment>
    <comment ref="Q38" authorId="0" shapeId="0" xr:uid="{00000000-0006-0000-0400-00009D010000}">
      <text>
        <r>
          <rPr>
            <sz val="8"/>
            <color indexed="81"/>
            <rFont val="Tahoma"/>
            <family val="2"/>
          </rPr>
          <t>Chain Length options are; 
Default
500mm
750mm
1000mm
1250mm
1500mm
2000mm</t>
        </r>
      </text>
    </comment>
    <comment ref="R38" authorId="0" shapeId="0" xr:uid="{00000000-0006-0000-0400-00009E010000}">
      <text>
        <r>
          <rPr>
            <sz val="8"/>
            <color indexed="81"/>
            <rFont val="Tahoma"/>
            <family val="2"/>
          </rPr>
          <t>Chain Colour options are; 
White
White Birch
Black
Nickel Plated Brass
Stainless Steel</t>
        </r>
      </text>
    </comment>
    <comment ref="S38" authorId="0" shapeId="0" xr:uid="{00000000-0006-0000-0400-00009F010000}">
      <text>
        <r>
          <rPr>
            <sz val="8"/>
            <color indexed="81"/>
            <rFont val="Tahoma"/>
            <family val="2"/>
          </rPr>
          <t>When
 Standard or Common 
is selected the 
Pelmet Colour 
must be entered.</t>
        </r>
      </text>
    </comment>
    <comment ref="W38" authorId="0" shapeId="0" xr:uid="{00000000-0006-0000-0400-0000A0010000}">
      <text>
        <r>
          <rPr>
            <sz val="8"/>
            <color indexed="81"/>
            <rFont val="Tahoma"/>
            <family val="2"/>
          </rPr>
          <t>Bracket Options include:
All other options;
Standard
Double
Link
Double Link</t>
        </r>
      </text>
    </comment>
    <comment ref="X38" authorId="0" shapeId="0" xr:uid="{00000000-0006-0000-0400-0000A1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39" authorId="0" shapeId="0" xr:uid="{00000000-0006-0000-0400-0000A2010000}">
      <text>
        <r>
          <rPr>
            <sz val="8"/>
            <color indexed="81"/>
            <rFont val="Tahoma"/>
            <family val="2"/>
          </rPr>
          <t>Products options are;
London
Maui
Paris
Sunscreen</t>
        </r>
      </text>
    </comment>
    <comment ref="E39" authorId="0" shapeId="0" xr:uid="{00000000-0006-0000-0400-0000A3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39" authorId="0" shapeId="0" xr:uid="{00000000-0006-0000-0400-0000A4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9" authorId="0" shapeId="0" xr:uid="{00000000-0006-0000-0400-0000A5010000}">
      <text>
        <r>
          <rPr>
            <sz val="8"/>
            <color indexed="81"/>
            <rFont val="Tahoma"/>
            <family val="2"/>
          </rPr>
          <t xml:space="preserve">Minimum Height/Drop is 300mm.
Maximum Height/Drop is 3000mm. </t>
        </r>
      </text>
    </comment>
    <comment ref="H39" authorId="0" shapeId="0" xr:uid="{00000000-0006-0000-0400-0000A6010000}">
      <text>
        <r>
          <rPr>
            <sz val="8"/>
            <color indexed="81"/>
            <rFont val="Tahoma"/>
            <family val="2"/>
          </rPr>
          <t>When selecting a
Corner or Bay 
Window Type, 
the 
CMB Corner WS 
or 
CMB Bay WS 
must be completed.</t>
        </r>
      </text>
    </comment>
    <comment ref="J39" authorId="0" shapeId="0" xr:uid="{00000000-0006-0000-0400-0000A7010000}">
      <text>
        <r>
          <rPr>
            <sz val="8"/>
            <color indexed="81"/>
            <rFont val="Tahoma"/>
            <family val="2"/>
          </rPr>
          <t>ACT 
Actual Measurements
You have made the allowances.
NAM
No Allowances Made 
The factory will make the deductions.</t>
        </r>
      </text>
    </comment>
    <comment ref="M39" authorId="0" shapeId="0" xr:uid="{00000000-0006-0000-0400-0000A8010000}">
      <text>
        <r>
          <rPr>
            <sz val="8"/>
            <color indexed="81"/>
            <rFont val="Tahoma"/>
            <family val="2"/>
          </rPr>
          <t xml:space="preserve">
Bottom Rail Colour options;
Clear Anodised
Metallic Black
Mocha
White
White Birch</t>
        </r>
      </text>
    </comment>
    <comment ref="O39" authorId="0" shapeId="0" xr:uid="{00000000-0006-0000-0400-0000A9010000}">
      <text>
        <r>
          <rPr>
            <sz val="8"/>
            <color indexed="81"/>
            <rFont val="Tahoma"/>
            <family val="2"/>
          </rPr>
          <t>Control Options are;
Left
Right
When Bracket Type is Link Together, 
Left or Right can only be selected once per Linked Set.</t>
        </r>
      </text>
    </comment>
    <comment ref="Q39" authorId="0" shapeId="0" xr:uid="{00000000-0006-0000-0400-0000AA010000}">
      <text>
        <r>
          <rPr>
            <sz val="8"/>
            <color indexed="81"/>
            <rFont val="Tahoma"/>
            <family val="2"/>
          </rPr>
          <t>Chain Length options are; 
Default
500mm
750mm
1000mm
1250mm
1500mm
2000mm</t>
        </r>
      </text>
    </comment>
    <comment ref="R39" authorId="0" shapeId="0" xr:uid="{00000000-0006-0000-0400-0000AB010000}">
      <text>
        <r>
          <rPr>
            <sz val="8"/>
            <color indexed="81"/>
            <rFont val="Tahoma"/>
            <family val="2"/>
          </rPr>
          <t>Chain Colour options are; 
White
White Birch
Black
Nickel Plated Brass
Stainless Steel</t>
        </r>
      </text>
    </comment>
    <comment ref="S39" authorId="0" shapeId="0" xr:uid="{00000000-0006-0000-0400-0000AC010000}">
      <text>
        <r>
          <rPr>
            <sz val="8"/>
            <color indexed="81"/>
            <rFont val="Tahoma"/>
            <family val="2"/>
          </rPr>
          <t>When
 Standard or Common 
is selected the 
Pelmet Colour 
must be entered.</t>
        </r>
      </text>
    </comment>
    <comment ref="W39" authorId="0" shapeId="0" xr:uid="{00000000-0006-0000-0400-0000AD010000}">
      <text>
        <r>
          <rPr>
            <sz val="8"/>
            <color indexed="81"/>
            <rFont val="Tahoma"/>
            <family val="2"/>
          </rPr>
          <t>Bracket Options include:
All other options;
Standard
Double
Link
Double Link</t>
        </r>
      </text>
    </comment>
    <comment ref="X39" authorId="0" shapeId="0" xr:uid="{00000000-0006-0000-0400-0000AE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40" authorId="0" shapeId="0" xr:uid="{00000000-0006-0000-0400-0000AF010000}">
      <text>
        <r>
          <rPr>
            <sz val="8"/>
            <color indexed="81"/>
            <rFont val="Tahoma"/>
            <family val="2"/>
          </rPr>
          <t>Products options are;
London
Maui
Paris
Sunscreen</t>
        </r>
      </text>
    </comment>
    <comment ref="E40" authorId="0" shapeId="0" xr:uid="{00000000-0006-0000-0400-0000B0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40" authorId="0" shapeId="0" xr:uid="{00000000-0006-0000-0400-0000B1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0" authorId="0" shapeId="0" xr:uid="{00000000-0006-0000-0400-0000B2010000}">
      <text>
        <r>
          <rPr>
            <sz val="8"/>
            <color indexed="81"/>
            <rFont val="Tahoma"/>
            <family val="2"/>
          </rPr>
          <t xml:space="preserve">Minimum Height/Drop is 300mm.
Maximum Height/Drop is 3000mm. </t>
        </r>
      </text>
    </comment>
    <comment ref="H40" authorId="0" shapeId="0" xr:uid="{00000000-0006-0000-0400-0000B3010000}">
      <text>
        <r>
          <rPr>
            <sz val="8"/>
            <color indexed="81"/>
            <rFont val="Tahoma"/>
            <family val="2"/>
          </rPr>
          <t>When selecting a
Corner or Bay 
Window Type, 
the 
CMB Corner WS 
or 
CMB Bay WS 
must be completed.</t>
        </r>
      </text>
    </comment>
    <comment ref="J40" authorId="0" shapeId="0" xr:uid="{00000000-0006-0000-0400-0000B4010000}">
      <text>
        <r>
          <rPr>
            <sz val="8"/>
            <color indexed="81"/>
            <rFont val="Tahoma"/>
            <family val="2"/>
          </rPr>
          <t>ACT 
Actual Measurements
You have made the allowances.
NAM
No Allowances Made 
The factory will make the deductions.</t>
        </r>
      </text>
    </comment>
    <comment ref="M40" authorId="0" shapeId="0" xr:uid="{00000000-0006-0000-0400-0000B5010000}">
      <text>
        <r>
          <rPr>
            <sz val="8"/>
            <color indexed="81"/>
            <rFont val="Tahoma"/>
            <family val="2"/>
          </rPr>
          <t xml:space="preserve">
Bottom Rail Colour options;
Clear Anodised
Metallic Black
Mocha
White
White Birch</t>
        </r>
      </text>
    </comment>
    <comment ref="O40" authorId="0" shapeId="0" xr:uid="{00000000-0006-0000-0400-0000B6010000}">
      <text>
        <r>
          <rPr>
            <sz val="8"/>
            <color indexed="81"/>
            <rFont val="Tahoma"/>
            <family val="2"/>
          </rPr>
          <t>Control Options are;
Left
Right
When Bracket Type is Link Together, 
Left or Right can only be selected once per Linked Set.</t>
        </r>
      </text>
    </comment>
    <comment ref="Q40" authorId="0" shapeId="0" xr:uid="{00000000-0006-0000-0400-0000B7010000}">
      <text>
        <r>
          <rPr>
            <sz val="8"/>
            <color indexed="81"/>
            <rFont val="Tahoma"/>
            <family val="2"/>
          </rPr>
          <t>Chain Length options are; 
Default
500mm
750mm
1000mm
1250mm
1500mm
2000mm</t>
        </r>
      </text>
    </comment>
    <comment ref="R40" authorId="0" shapeId="0" xr:uid="{00000000-0006-0000-0400-0000B8010000}">
      <text>
        <r>
          <rPr>
            <sz val="8"/>
            <color indexed="81"/>
            <rFont val="Tahoma"/>
            <family val="2"/>
          </rPr>
          <t>Chain Colour options are; 
White
White Birch
Black
Nickel Plated Brass
Stainless Steel</t>
        </r>
      </text>
    </comment>
    <comment ref="S40" authorId="0" shapeId="0" xr:uid="{00000000-0006-0000-0400-0000B9010000}">
      <text>
        <r>
          <rPr>
            <sz val="8"/>
            <color indexed="81"/>
            <rFont val="Tahoma"/>
            <family val="2"/>
          </rPr>
          <t>When
 Standard or Common 
is selected the 
Pelmet Colour 
must be entered.</t>
        </r>
      </text>
    </comment>
    <comment ref="W40" authorId="0" shapeId="0" xr:uid="{00000000-0006-0000-0400-0000BA010000}">
      <text>
        <r>
          <rPr>
            <sz val="8"/>
            <color indexed="81"/>
            <rFont val="Tahoma"/>
            <family val="2"/>
          </rPr>
          <t>Bracket Options include:
All other options;
Standard
Double
Link
Double Link</t>
        </r>
      </text>
    </comment>
    <comment ref="X40" authorId="0" shapeId="0" xr:uid="{00000000-0006-0000-0400-0000BB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41" authorId="0" shapeId="0" xr:uid="{00000000-0006-0000-0400-0000BC010000}">
      <text>
        <r>
          <rPr>
            <sz val="8"/>
            <color indexed="81"/>
            <rFont val="Tahoma"/>
            <family val="2"/>
          </rPr>
          <t>Products options are;
London
Maui
Paris
Sunscreen</t>
        </r>
      </text>
    </comment>
    <comment ref="E41" authorId="0" shapeId="0" xr:uid="{00000000-0006-0000-0400-0000BD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41" authorId="0" shapeId="0" xr:uid="{00000000-0006-0000-0400-0000BE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1" authorId="0" shapeId="0" xr:uid="{00000000-0006-0000-0400-0000BF010000}">
      <text>
        <r>
          <rPr>
            <sz val="8"/>
            <color indexed="81"/>
            <rFont val="Tahoma"/>
            <family val="2"/>
          </rPr>
          <t xml:space="preserve">Minimum Height/Drop is 300mm.
Maximum Height/Drop is 3000mm. </t>
        </r>
      </text>
    </comment>
    <comment ref="H41" authorId="0" shapeId="0" xr:uid="{00000000-0006-0000-0400-0000C0010000}">
      <text>
        <r>
          <rPr>
            <sz val="8"/>
            <color indexed="81"/>
            <rFont val="Tahoma"/>
            <family val="2"/>
          </rPr>
          <t>When selecting a
Corner or Bay 
Window Type, 
the 
CMB Corner WS 
or 
CMB Bay WS 
must be completed.</t>
        </r>
      </text>
    </comment>
    <comment ref="J41" authorId="0" shapeId="0" xr:uid="{00000000-0006-0000-0400-0000C1010000}">
      <text>
        <r>
          <rPr>
            <sz val="8"/>
            <color indexed="81"/>
            <rFont val="Tahoma"/>
            <family val="2"/>
          </rPr>
          <t>ACT 
Actual Measurements
You have made the allowances.
NAM
No Allowances Made 
The factory will make the deductions.</t>
        </r>
      </text>
    </comment>
    <comment ref="M41" authorId="0" shapeId="0" xr:uid="{00000000-0006-0000-0400-0000C2010000}">
      <text>
        <r>
          <rPr>
            <sz val="8"/>
            <color indexed="81"/>
            <rFont val="Tahoma"/>
            <family val="2"/>
          </rPr>
          <t xml:space="preserve">
Bottom Rail Colour options;
Clear Anodised
Metallic Black
Mocha
White
White Birch</t>
        </r>
      </text>
    </comment>
    <comment ref="O41" authorId="0" shapeId="0" xr:uid="{00000000-0006-0000-0400-0000C3010000}">
      <text>
        <r>
          <rPr>
            <sz val="8"/>
            <color indexed="81"/>
            <rFont val="Tahoma"/>
            <family val="2"/>
          </rPr>
          <t>Control Options are;
Left
Right
When Bracket Type is Link Together, 
Left or Right can only be selected once per Linked Set.</t>
        </r>
      </text>
    </comment>
    <comment ref="Q41" authorId="0" shapeId="0" xr:uid="{00000000-0006-0000-0400-0000C4010000}">
      <text>
        <r>
          <rPr>
            <sz val="8"/>
            <color indexed="81"/>
            <rFont val="Tahoma"/>
            <family val="2"/>
          </rPr>
          <t>Chain Length options are; 
Default
500mm
750mm
1000mm
1250mm
1500mm
2000mm</t>
        </r>
      </text>
    </comment>
    <comment ref="R41" authorId="0" shapeId="0" xr:uid="{00000000-0006-0000-0400-0000C5010000}">
      <text>
        <r>
          <rPr>
            <sz val="8"/>
            <color indexed="81"/>
            <rFont val="Tahoma"/>
            <family val="2"/>
          </rPr>
          <t>Chain Colour options are; 
White
White Birch
Black
Nickel Plated Brass
Stainless Steel</t>
        </r>
      </text>
    </comment>
    <comment ref="S41" authorId="0" shapeId="0" xr:uid="{00000000-0006-0000-0400-0000C6010000}">
      <text>
        <r>
          <rPr>
            <sz val="8"/>
            <color indexed="81"/>
            <rFont val="Tahoma"/>
            <family val="2"/>
          </rPr>
          <t>When
 Standard or Common 
is selected the 
Pelmet Colour 
must be entered.</t>
        </r>
      </text>
    </comment>
    <comment ref="W41" authorId="0" shapeId="0" xr:uid="{00000000-0006-0000-0400-0000C7010000}">
      <text>
        <r>
          <rPr>
            <sz val="8"/>
            <color indexed="81"/>
            <rFont val="Tahoma"/>
            <family val="2"/>
          </rPr>
          <t>Bracket Options include:
All other options;
Standard
Double
Link
Double Link</t>
        </r>
      </text>
    </comment>
    <comment ref="X41" authorId="0" shapeId="0" xr:uid="{00000000-0006-0000-0400-0000C8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42" authorId="0" shapeId="0" xr:uid="{00000000-0006-0000-0400-0000C9010000}">
      <text>
        <r>
          <rPr>
            <sz val="8"/>
            <color indexed="81"/>
            <rFont val="Tahoma"/>
            <family val="2"/>
          </rPr>
          <t>Products options are;
London
Maui
Paris
Sunscreen</t>
        </r>
      </text>
    </comment>
    <comment ref="E42" authorId="0" shapeId="0" xr:uid="{00000000-0006-0000-0400-0000CA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42" authorId="0" shapeId="0" xr:uid="{00000000-0006-0000-0400-0000CB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2" authorId="0" shapeId="0" xr:uid="{00000000-0006-0000-0400-0000CC010000}">
      <text>
        <r>
          <rPr>
            <sz val="8"/>
            <color indexed="81"/>
            <rFont val="Tahoma"/>
            <family val="2"/>
          </rPr>
          <t xml:space="preserve">Minimum Height/Drop is 300mm.
Maximum Height/Drop is 3000mm. </t>
        </r>
      </text>
    </comment>
    <comment ref="H42" authorId="0" shapeId="0" xr:uid="{00000000-0006-0000-0400-0000CD010000}">
      <text>
        <r>
          <rPr>
            <sz val="8"/>
            <color indexed="81"/>
            <rFont val="Tahoma"/>
            <family val="2"/>
          </rPr>
          <t>When selecting a
Corner or Bay 
Window Type, 
the 
CMB Corner WS 
or 
CMB Bay WS 
must be completed.</t>
        </r>
      </text>
    </comment>
    <comment ref="J42" authorId="0" shapeId="0" xr:uid="{00000000-0006-0000-0400-0000CE010000}">
      <text>
        <r>
          <rPr>
            <sz val="8"/>
            <color indexed="81"/>
            <rFont val="Tahoma"/>
            <family val="2"/>
          </rPr>
          <t>ACT 
Actual Measurements
You have made the allowances.
NAM
No Allowances Made 
The factory will make the deductions.</t>
        </r>
      </text>
    </comment>
    <comment ref="M42" authorId="0" shapeId="0" xr:uid="{00000000-0006-0000-0400-0000CF010000}">
      <text>
        <r>
          <rPr>
            <sz val="8"/>
            <color indexed="81"/>
            <rFont val="Tahoma"/>
            <family val="2"/>
          </rPr>
          <t xml:space="preserve">
Bottom Rail Colour options;
Clear Anodised
Metallic Black
Mocha
White
White Birch</t>
        </r>
      </text>
    </comment>
    <comment ref="O42" authorId="0" shapeId="0" xr:uid="{00000000-0006-0000-0400-0000D0010000}">
      <text>
        <r>
          <rPr>
            <sz val="8"/>
            <color indexed="81"/>
            <rFont val="Tahoma"/>
            <family val="2"/>
          </rPr>
          <t>Control Options are;
Left
Right
When Bracket Type is Link Together, 
Left or Right can only be selected once per Linked Set.</t>
        </r>
      </text>
    </comment>
    <comment ref="Q42" authorId="0" shapeId="0" xr:uid="{00000000-0006-0000-0400-0000D1010000}">
      <text>
        <r>
          <rPr>
            <sz val="8"/>
            <color indexed="81"/>
            <rFont val="Tahoma"/>
            <family val="2"/>
          </rPr>
          <t>Chain Length options are; 
Default
500mm
750mm
1000mm
1250mm
1500mm
2000mm</t>
        </r>
      </text>
    </comment>
    <comment ref="R42" authorId="0" shapeId="0" xr:uid="{00000000-0006-0000-0400-0000D2010000}">
      <text>
        <r>
          <rPr>
            <sz val="8"/>
            <color indexed="81"/>
            <rFont val="Tahoma"/>
            <family val="2"/>
          </rPr>
          <t>Chain Colour options are; 
White
White Birch
Black
Nickel Plated Brass
Stainless Steel</t>
        </r>
      </text>
    </comment>
    <comment ref="S42" authorId="0" shapeId="0" xr:uid="{00000000-0006-0000-0400-0000D3010000}">
      <text>
        <r>
          <rPr>
            <sz val="8"/>
            <color indexed="81"/>
            <rFont val="Tahoma"/>
            <family val="2"/>
          </rPr>
          <t>When
 Standard or Common 
is selected the 
Pelmet Colour 
must be entered.</t>
        </r>
      </text>
    </comment>
    <comment ref="W42" authorId="0" shapeId="0" xr:uid="{00000000-0006-0000-0400-0000D4010000}">
      <text>
        <r>
          <rPr>
            <sz val="8"/>
            <color indexed="81"/>
            <rFont val="Tahoma"/>
            <family val="2"/>
          </rPr>
          <t>Bracket Options include:
All other options;
Standard
Double
Link
Double Link</t>
        </r>
      </text>
    </comment>
    <comment ref="X42" authorId="0" shapeId="0" xr:uid="{00000000-0006-0000-0400-0000D5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43" authorId="0" shapeId="0" xr:uid="{00000000-0006-0000-0400-0000D6010000}">
      <text>
        <r>
          <rPr>
            <sz val="8"/>
            <color indexed="81"/>
            <rFont val="Tahoma"/>
            <family val="2"/>
          </rPr>
          <t>Products options are;
London
Maui
Paris
Sunscreen</t>
        </r>
      </text>
    </comment>
    <comment ref="E43" authorId="0" shapeId="0" xr:uid="{00000000-0006-0000-0400-0000D7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43" authorId="0" shapeId="0" xr:uid="{00000000-0006-0000-0400-0000D8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3" authorId="0" shapeId="0" xr:uid="{00000000-0006-0000-0400-0000D9010000}">
      <text>
        <r>
          <rPr>
            <sz val="8"/>
            <color indexed="81"/>
            <rFont val="Tahoma"/>
            <family val="2"/>
          </rPr>
          <t xml:space="preserve">Minimum Height/Drop is 300mm.
Maximum Height/Drop is 3000mm. </t>
        </r>
      </text>
    </comment>
    <comment ref="H43" authorId="0" shapeId="0" xr:uid="{00000000-0006-0000-0400-0000DA010000}">
      <text>
        <r>
          <rPr>
            <sz val="8"/>
            <color indexed="81"/>
            <rFont val="Tahoma"/>
            <family val="2"/>
          </rPr>
          <t>When selecting a
Corner or Bay 
Window Type, 
the 
CMB Corner WS 
or 
CMB Bay WS 
must be completed.</t>
        </r>
      </text>
    </comment>
    <comment ref="J43" authorId="0" shapeId="0" xr:uid="{00000000-0006-0000-0400-0000DB010000}">
      <text>
        <r>
          <rPr>
            <sz val="8"/>
            <color indexed="81"/>
            <rFont val="Tahoma"/>
            <family val="2"/>
          </rPr>
          <t>ACT 
Actual Measurements
You have made the allowances.
NAM
No Allowances Made 
The factory will make the deductions.</t>
        </r>
      </text>
    </comment>
    <comment ref="M43" authorId="0" shapeId="0" xr:uid="{00000000-0006-0000-0400-0000DC010000}">
      <text>
        <r>
          <rPr>
            <sz val="8"/>
            <color indexed="81"/>
            <rFont val="Tahoma"/>
            <family val="2"/>
          </rPr>
          <t xml:space="preserve">
Bottom Rail Colour options;
Clear Anodised
Metallic Black
Mocha
White
White Birch</t>
        </r>
      </text>
    </comment>
    <comment ref="O43" authorId="0" shapeId="0" xr:uid="{00000000-0006-0000-0400-0000DD010000}">
      <text>
        <r>
          <rPr>
            <sz val="8"/>
            <color indexed="81"/>
            <rFont val="Tahoma"/>
            <family val="2"/>
          </rPr>
          <t>Control Options are;
Left
Right
When Bracket Type is Link Together, 
Left or Right can only be selected once per Linked Set.</t>
        </r>
      </text>
    </comment>
    <comment ref="Q43" authorId="0" shapeId="0" xr:uid="{00000000-0006-0000-0400-0000DE010000}">
      <text>
        <r>
          <rPr>
            <sz val="8"/>
            <color indexed="81"/>
            <rFont val="Tahoma"/>
            <family val="2"/>
          </rPr>
          <t>Chain Length options are; 
Default
500mm
750mm
1000mm
1250mm
1500mm
2000mm</t>
        </r>
      </text>
    </comment>
    <comment ref="R43" authorId="0" shapeId="0" xr:uid="{00000000-0006-0000-0400-0000DF010000}">
      <text>
        <r>
          <rPr>
            <sz val="8"/>
            <color indexed="81"/>
            <rFont val="Tahoma"/>
            <family val="2"/>
          </rPr>
          <t>Chain Colour options are; 
White
White Birch
Black
Nickel Plated Brass
Stainless Steel</t>
        </r>
      </text>
    </comment>
    <comment ref="S43" authorId="0" shapeId="0" xr:uid="{00000000-0006-0000-0400-0000E0010000}">
      <text>
        <r>
          <rPr>
            <sz val="8"/>
            <color indexed="81"/>
            <rFont val="Tahoma"/>
            <family val="2"/>
          </rPr>
          <t>When
 Standard or Common 
is selected the 
Pelmet Colour 
must be entered.</t>
        </r>
      </text>
    </comment>
    <comment ref="W43" authorId="0" shapeId="0" xr:uid="{00000000-0006-0000-0400-0000E1010000}">
      <text>
        <r>
          <rPr>
            <sz val="8"/>
            <color indexed="81"/>
            <rFont val="Tahoma"/>
            <family val="2"/>
          </rPr>
          <t>Bracket Options include:
All other options;
Standard
Double
Link
Double Link</t>
        </r>
      </text>
    </comment>
    <comment ref="X43" authorId="0" shapeId="0" xr:uid="{00000000-0006-0000-0400-0000E2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44" authorId="0" shapeId="0" xr:uid="{00000000-0006-0000-0400-0000E3010000}">
      <text>
        <r>
          <rPr>
            <sz val="8"/>
            <color indexed="81"/>
            <rFont val="Tahoma"/>
            <family val="2"/>
          </rPr>
          <t>Products options are;
London
Maui
Paris
Sunscreen</t>
        </r>
      </text>
    </comment>
    <comment ref="E44" authorId="0" shapeId="0" xr:uid="{00000000-0006-0000-0400-0000E4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44" authorId="0" shapeId="0" xr:uid="{00000000-0006-0000-0400-0000E5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4" authorId="0" shapeId="0" xr:uid="{00000000-0006-0000-0400-0000E6010000}">
      <text>
        <r>
          <rPr>
            <sz val="8"/>
            <color indexed="81"/>
            <rFont val="Tahoma"/>
            <family val="2"/>
          </rPr>
          <t xml:space="preserve">Minimum Height/Drop is 300mm.
Maximum Height/Drop is 3000mm. </t>
        </r>
      </text>
    </comment>
    <comment ref="H44" authorId="0" shapeId="0" xr:uid="{00000000-0006-0000-0400-0000E7010000}">
      <text>
        <r>
          <rPr>
            <sz val="8"/>
            <color indexed="81"/>
            <rFont val="Tahoma"/>
            <family val="2"/>
          </rPr>
          <t>When selecting a
Corner or Bay 
Window Type, 
the 
CMB Corner WS 
or 
CMB Bay WS 
must be completed.</t>
        </r>
      </text>
    </comment>
    <comment ref="J44" authorId="0" shapeId="0" xr:uid="{00000000-0006-0000-0400-0000E8010000}">
      <text>
        <r>
          <rPr>
            <sz val="8"/>
            <color indexed="81"/>
            <rFont val="Tahoma"/>
            <family val="2"/>
          </rPr>
          <t>ACT 
Actual Measurements
You have made the allowances.
NAM
No Allowances Made 
The factory will make the deductions.</t>
        </r>
      </text>
    </comment>
    <comment ref="M44" authorId="0" shapeId="0" xr:uid="{00000000-0006-0000-0400-0000E9010000}">
      <text>
        <r>
          <rPr>
            <sz val="8"/>
            <color indexed="81"/>
            <rFont val="Tahoma"/>
            <family val="2"/>
          </rPr>
          <t xml:space="preserve">
Bottom Rail Colour options;
Clear Anodised
Metallic Black
Mocha
White
White Birch</t>
        </r>
      </text>
    </comment>
    <comment ref="O44" authorId="0" shapeId="0" xr:uid="{00000000-0006-0000-0400-0000EA010000}">
      <text>
        <r>
          <rPr>
            <sz val="8"/>
            <color indexed="81"/>
            <rFont val="Tahoma"/>
            <family val="2"/>
          </rPr>
          <t>Control Options are;
Left
Right
When Bracket Type is Link Together, 
Left or Right can only be selected once per Linked Set.</t>
        </r>
      </text>
    </comment>
    <comment ref="Q44" authorId="0" shapeId="0" xr:uid="{00000000-0006-0000-0400-0000EB010000}">
      <text>
        <r>
          <rPr>
            <sz val="8"/>
            <color indexed="81"/>
            <rFont val="Tahoma"/>
            <family val="2"/>
          </rPr>
          <t>Chain Length options are; 
Default
500mm
750mm
1000mm
1250mm
1500mm
2000mm</t>
        </r>
      </text>
    </comment>
    <comment ref="R44" authorId="0" shapeId="0" xr:uid="{00000000-0006-0000-0400-0000EC010000}">
      <text>
        <r>
          <rPr>
            <sz val="8"/>
            <color indexed="81"/>
            <rFont val="Tahoma"/>
            <family val="2"/>
          </rPr>
          <t>Chain Colour options are; 
White
White Birch
Black
Nickel Plated Brass
Stainless Steel</t>
        </r>
      </text>
    </comment>
    <comment ref="S44" authorId="0" shapeId="0" xr:uid="{00000000-0006-0000-0400-0000ED010000}">
      <text>
        <r>
          <rPr>
            <sz val="8"/>
            <color indexed="81"/>
            <rFont val="Tahoma"/>
            <family val="2"/>
          </rPr>
          <t>When
 Standard or Common 
is selected the 
Pelmet Colour 
must be entered.</t>
        </r>
      </text>
    </comment>
    <comment ref="W44" authorId="0" shapeId="0" xr:uid="{00000000-0006-0000-0400-0000EE010000}">
      <text>
        <r>
          <rPr>
            <sz val="8"/>
            <color indexed="81"/>
            <rFont val="Tahoma"/>
            <family val="2"/>
          </rPr>
          <t>Bracket Options include:
All other options;
Standard
Double
Link
Double Link</t>
        </r>
      </text>
    </comment>
    <comment ref="X44" authorId="0" shapeId="0" xr:uid="{00000000-0006-0000-0400-0000EF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45" authorId="0" shapeId="0" xr:uid="{00000000-0006-0000-0400-0000F0010000}">
      <text>
        <r>
          <rPr>
            <sz val="8"/>
            <color indexed="81"/>
            <rFont val="Tahoma"/>
            <family val="2"/>
          </rPr>
          <t>Products options are;
London
Maui
Paris
Sunscreen</t>
        </r>
      </text>
    </comment>
    <comment ref="E45" authorId="0" shapeId="0" xr:uid="{00000000-0006-0000-0400-0000F1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45" authorId="0" shapeId="0" xr:uid="{00000000-0006-0000-0400-0000F2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5" authorId="0" shapeId="0" xr:uid="{00000000-0006-0000-0400-0000F3010000}">
      <text>
        <r>
          <rPr>
            <sz val="8"/>
            <color indexed="81"/>
            <rFont val="Tahoma"/>
            <family val="2"/>
          </rPr>
          <t xml:space="preserve">Minimum Height/Drop is 300mm.
Maximum Height/Drop is 3000mm. </t>
        </r>
      </text>
    </comment>
    <comment ref="H45" authorId="0" shapeId="0" xr:uid="{00000000-0006-0000-0400-0000F4010000}">
      <text>
        <r>
          <rPr>
            <sz val="8"/>
            <color indexed="81"/>
            <rFont val="Tahoma"/>
            <family val="2"/>
          </rPr>
          <t>When selecting a
Corner or Bay 
Window Type, 
the 
CMB Corner WS 
or 
CMB Bay WS 
must be completed.</t>
        </r>
      </text>
    </comment>
    <comment ref="J45" authorId="0" shapeId="0" xr:uid="{00000000-0006-0000-0400-0000F5010000}">
      <text>
        <r>
          <rPr>
            <sz val="8"/>
            <color indexed="81"/>
            <rFont val="Tahoma"/>
            <family val="2"/>
          </rPr>
          <t>ACT 
Actual Measurements
You have made the allowances.
NAM
No Allowances Made 
The factory will make the deductions.</t>
        </r>
      </text>
    </comment>
    <comment ref="M45" authorId="0" shapeId="0" xr:uid="{00000000-0006-0000-0400-0000F6010000}">
      <text>
        <r>
          <rPr>
            <sz val="8"/>
            <color indexed="81"/>
            <rFont val="Tahoma"/>
            <family val="2"/>
          </rPr>
          <t xml:space="preserve">
Bottom Rail Colour options;
Clear Anodised
Metallic Black
Mocha
White
White Birch</t>
        </r>
      </text>
    </comment>
    <comment ref="O45" authorId="0" shapeId="0" xr:uid="{00000000-0006-0000-0400-0000F7010000}">
      <text>
        <r>
          <rPr>
            <sz val="8"/>
            <color indexed="81"/>
            <rFont val="Tahoma"/>
            <family val="2"/>
          </rPr>
          <t>Control Options are;
Left
Right
When Bracket Type is Link Together, 
Left or Right can only be selected once per Linked Set.</t>
        </r>
      </text>
    </comment>
    <comment ref="Q45" authorId="0" shapeId="0" xr:uid="{00000000-0006-0000-0400-0000F8010000}">
      <text>
        <r>
          <rPr>
            <sz val="8"/>
            <color indexed="81"/>
            <rFont val="Tahoma"/>
            <family val="2"/>
          </rPr>
          <t>Chain Length options are; 
Default
500mm
750mm
1000mm
1250mm
1500mm
2000mm</t>
        </r>
      </text>
    </comment>
    <comment ref="R45" authorId="0" shapeId="0" xr:uid="{00000000-0006-0000-0400-0000F9010000}">
      <text>
        <r>
          <rPr>
            <sz val="8"/>
            <color indexed="81"/>
            <rFont val="Tahoma"/>
            <family val="2"/>
          </rPr>
          <t>Chain Colour options are; 
White
White Birch
Black
Nickel Plated Brass
Stainless Steel</t>
        </r>
      </text>
    </comment>
    <comment ref="S45" authorId="0" shapeId="0" xr:uid="{00000000-0006-0000-0400-0000FA010000}">
      <text>
        <r>
          <rPr>
            <sz val="8"/>
            <color indexed="81"/>
            <rFont val="Tahoma"/>
            <family val="2"/>
          </rPr>
          <t>When
 Standard or Common 
is selected the 
Pelmet Colour 
must be entered.</t>
        </r>
      </text>
    </comment>
    <comment ref="W45" authorId="0" shapeId="0" xr:uid="{00000000-0006-0000-0400-0000FB010000}">
      <text>
        <r>
          <rPr>
            <sz val="8"/>
            <color indexed="81"/>
            <rFont val="Tahoma"/>
            <family val="2"/>
          </rPr>
          <t>Bracket Options include:
All other options;
Standard
Double
Link
Double Link</t>
        </r>
      </text>
    </comment>
    <comment ref="X45" authorId="0" shapeId="0" xr:uid="{00000000-0006-0000-0400-0000FC01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46" authorId="0" shapeId="0" xr:uid="{00000000-0006-0000-0400-0000FD010000}">
      <text>
        <r>
          <rPr>
            <sz val="8"/>
            <color indexed="81"/>
            <rFont val="Tahoma"/>
            <family val="2"/>
          </rPr>
          <t>Products options are;
London
Maui
Paris
Sunscreen</t>
        </r>
      </text>
    </comment>
    <comment ref="E46" authorId="0" shapeId="0" xr:uid="{00000000-0006-0000-0400-0000FE01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46" authorId="0" shapeId="0" xr:uid="{00000000-0006-0000-0400-0000FF01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6" authorId="0" shapeId="0" xr:uid="{00000000-0006-0000-0400-000000020000}">
      <text>
        <r>
          <rPr>
            <sz val="8"/>
            <color indexed="81"/>
            <rFont val="Tahoma"/>
            <family val="2"/>
          </rPr>
          <t xml:space="preserve">Minimum Height/Drop is 300mm.
Maximum Height/Drop is 3000mm. </t>
        </r>
      </text>
    </comment>
    <comment ref="H46" authorId="0" shapeId="0" xr:uid="{00000000-0006-0000-0400-000001020000}">
      <text>
        <r>
          <rPr>
            <sz val="8"/>
            <color indexed="81"/>
            <rFont val="Tahoma"/>
            <family val="2"/>
          </rPr>
          <t>When selecting a
Corner or Bay 
Window Type, 
the 
CMB Corner WS 
or 
CMB Bay WS 
must be completed.</t>
        </r>
      </text>
    </comment>
    <comment ref="J46" authorId="0" shapeId="0" xr:uid="{00000000-0006-0000-0400-000002020000}">
      <text>
        <r>
          <rPr>
            <sz val="8"/>
            <color indexed="81"/>
            <rFont val="Tahoma"/>
            <family val="2"/>
          </rPr>
          <t>ACT 
Actual Measurements
You have made the allowances.
NAM
No Allowances Made 
The factory will make the deductions.</t>
        </r>
      </text>
    </comment>
    <comment ref="M46" authorId="0" shapeId="0" xr:uid="{00000000-0006-0000-0400-000003020000}">
      <text>
        <r>
          <rPr>
            <sz val="8"/>
            <color indexed="81"/>
            <rFont val="Tahoma"/>
            <family val="2"/>
          </rPr>
          <t xml:space="preserve">
Bottom Rail Colour options;
Clear Anodised
Metallic Black
Mocha
White
White Birch</t>
        </r>
      </text>
    </comment>
    <comment ref="O46" authorId="0" shapeId="0" xr:uid="{00000000-0006-0000-0400-000004020000}">
      <text>
        <r>
          <rPr>
            <sz val="8"/>
            <color indexed="81"/>
            <rFont val="Tahoma"/>
            <family val="2"/>
          </rPr>
          <t>Control Options are;
Left
Right
When Bracket Type is Link Together, 
Left or Right can only be selected once per Linked Set.</t>
        </r>
      </text>
    </comment>
    <comment ref="Q46" authorId="0" shapeId="0" xr:uid="{00000000-0006-0000-0400-000005020000}">
      <text>
        <r>
          <rPr>
            <sz val="8"/>
            <color indexed="81"/>
            <rFont val="Tahoma"/>
            <family val="2"/>
          </rPr>
          <t>Chain Length options are; 
Default
500mm
750mm
1000mm
1250mm
1500mm
2000mm</t>
        </r>
      </text>
    </comment>
    <comment ref="R46" authorId="0" shapeId="0" xr:uid="{00000000-0006-0000-0400-000006020000}">
      <text>
        <r>
          <rPr>
            <sz val="8"/>
            <color indexed="81"/>
            <rFont val="Tahoma"/>
            <family val="2"/>
          </rPr>
          <t>Chain Colour options are; 
White
White Birch
Black
Nickel Plated Brass
Stainless Steel</t>
        </r>
      </text>
    </comment>
    <comment ref="S46" authorId="0" shapeId="0" xr:uid="{00000000-0006-0000-0400-000007020000}">
      <text>
        <r>
          <rPr>
            <sz val="8"/>
            <color indexed="81"/>
            <rFont val="Tahoma"/>
            <family val="2"/>
          </rPr>
          <t>When
 Standard or Common 
is selected the 
Pelmet Colour 
must be entered.</t>
        </r>
      </text>
    </comment>
    <comment ref="W46" authorId="0" shapeId="0" xr:uid="{00000000-0006-0000-0400-000008020000}">
      <text>
        <r>
          <rPr>
            <sz val="8"/>
            <color indexed="81"/>
            <rFont val="Tahoma"/>
            <family val="2"/>
          </rPr>
          <t>Bracket Options include:
All other options;
Standard
Double
Link
Double Link</t>
        </r>
      </text>
    </comment>
    <comment ref="X46" authorId="0" shapeId="0" xr:uid="{00000000-0006-0000-0400-00000902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47" authorId="0" shapeId="0" xr:uid="{00000000-0006-0000-0400-00000A020000}">
      <text>
        <r>
          <rPr>
            <sz val="8"/>
            <color indexed="81"/>
            <rFont val="Tahoma"/>
            <family val="2"/>
          </rPr>
          <t>Products options are;
London
Maui
Paris
Sunscreen</t>
        </r>
      </text>
    </comment>
    <comment ref="E47" authorId="0" shapeId="0" xr:uid="{00000000-0006-0000-0400-00000B02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47" authorId="0" shapeId="0" xr:uid="{00000000-0006-0000-0400-00000C02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7" authorId="0" shapeId="0" xr:uid="{00000000-0006-0000-0400-00000D020000}">
      <text>
        <r>
          <rPr>
            <sz val="8"/>
            <color indexed="81"/>
            <rFont val="Tahoma"/>
            <family val="2"/>
          </rPr>
          <t xml:space="preserve">Minimum Height/Drop is 300mm.
Maximum Height/Drop is 3000mm. </t>
        </r>
      </text>
    </comment>
    <comment ref="H47" authorId="0" shapeId="0" xr:uid="{00000000-0006-0000-0400-00000E020000}">
      <text>
        <r>
          <rPr>
            <sz val="8"/>
            <color indexed="81"/>
            <rFont val="Tahoma"/>
            <family val="2"/>
          </rPr>
          <t>When selecting a
Corner or Bay 
Window Type, 
the 
CMB Corner WS 
or 
CMB Bay WS 
must be completed.</t>
        </r>
      </text>
    </comment>
    <comment ref="J47" authorId="0" shapeId="0" xr:uid="{00000000-0006-0000-0400-00000F020000}">
      <text>
        <r>
          <rPr>
            <sz val="8"/>
            <color indexed="81"/>
            <rFont val="Tahoma"/>
            <family val="2"/>
          </rPr>
          <t>ACT 
Actual Measurements
You have made the allowances.
NAM
No Allowances Made 
The factory will make the deductions.</t>
        </r>
      </text>
    </comment>
    <comment ref="M47" authorId="0" shapeId="0" xr:uid="{00000000-0006-0000-0400-000010020000}">
      <text>
        <r>
          <rPr>
            <sz val="8"/>
            <color indexed="81"/>
            <rFont val="Tahoma"/>
            <family val="2"/>
          </rPr>
          <t xml:space="preserve">
Bottom Rail Colour options;
Clear Anodised
Metallic Black
Mocha
White
White Birch</t>
        </r>
      </text>
    </comment>
    <comment ref="O47" authorId="0" shapeId="0" xr:uid="{00000000-0006-0000-0400-000011020000}">
      <text>
        <r>
          <rPr>
            <sz val="8"/>
            <color indexed="81"/>
            <rFont val="Tahoma"/>
            <family val="2"/>
          </rPr>
          <t>Control Options are;
Left
Right
When Bracket Type is Link Together, 
Left or Right can only be selected once per Linked Set.</t>
        </r>
      </text>
    </comment>
    <comment ref="Q47" authorId="0" shapeId="0" xr:uid="{00000000-0006-0000-0400-000012020000}">
      <text>
        <r>
          <rPr>
            <sz val="8"/>
            <color indexed="81"/>
            <rFont val="Tahoma"/>
            <family val="2"/>
          </rPr>
          <t>Chain Length options are; 
Default
500mm
750mm
1000mm
1250mm
1500mm
2000mm</t>
        </r>
      </text>
    </comment>
    <comment ref="R47" authorId="0" shapeId="0" xr:uid="{00000000-0006-0000-0400-000013020000}">
      <text>
        <r>
          <rPr>
            <sz val="8"/>
            <color indexed="81"/>
            <rFont val="Tahoma"/>
            <family val="2"/>
          </rPr>
          <t>Chain Colour options are; 
White
White Birch
Black
Nickel Plated Brass
Stainless Steel</t>
        </r>
      </text>
    </comment>
    <comment ref="S47" authorId="0" shapeId="0" xr:uid="{00000000-0006-0000-0400-000014020000}">
      <text>
        <r>
          <rPr>
            <sz val="8"/>
            <color indexed="81"/>
            <rFont val="Tahoma"/>
            <family val="2"/>
          </rPr>
          <t>When
 Standard or Common 
is selected the 
Pelmet Colour 
must be entered.</t>
        </r>
      </text>
    </comment>
    <comment ref="W47" authorId="0" shapeId="0" xr:uid="{00000000-0006-0000-0400-000015020000}">
      <text>
        <r>
          <rPr>
            <sz val="8"/>
            <color indexed="81"/>
            <rFont val="Tahoma"/>
            <family val="2"/>
          </rPr>
          <t>Bracket Options include:
All other options;
Standard
Double
Link
Double Link</t>
        </r>
      </text>
    </comment>
    <comment ref="X47" authorId="0" shapeId="0" xr:uid="{00000000-0006-0000-0400-00001602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48" authorId="0" shapeId="0" xr:uid="{00000000-0006-0000-0400-000017020000}">
      <text>
        <r>
          <rPr>
            <sz val="8"/>
            <color indexed="81"/>
            <rFont val="Tahoma"/>
            <family val="2"/>
          </rPr>
          <t>Products options are;
London
Maui
Paris
Sunscreen</t>
        </r>
      </text>
    </comment>
    <comment ref="E48" authorId="0" shapeId="0" xr:uid="{00000000-0006-0000-0400-00001802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48" authorId="0" shapeId="0" xr:uid="{00000000-0006-0000-0400-00001902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8" authorId="0" shapeId="0" xr:uid="{00000000-0006-0000-0400-00001A020000}">
      <text>
        <r>
          <rPr>
            <sz val="8"/>
            <color indexed="81"/>
            <rFont val="Tahoma"/>
            <family val="2"/>
          </rPr>
          <t xml:space="preserve">Minimum Height/Drop is 300mm.
Maximum Height/Drop is 3000mm. </t>
        </r>
      </text>
    </comment>
    <comment ref="H48" authorId="0" shapeId="0" xr:uid="{00000000-0006-0000-0400-00001B020000}">
      <text>
        <r>
          <rPr>
            <sz val="8"/>
            <color indexed="81"/>
            <rFont val="Tahoma"/>
            <family val="2"/>
          </rPr>
          <t>When selecting a
Corner or Bay 
Window Type, 
the 
CMB Corner WS 
or 
CMB Bay WS 
must be completed.</t>
        </r>
      </text>
    </comment>
    <comment ref="J48" authorId="0" shapeId="0" xr:uid="{00000000-0006-0000-0400-00001C020000}">
      <text>
        <r>
          <rPr>
            <sz val="8"/>
            <color indexed="81"/>
            <rFont val="Tahoma"/>
            <family val="2"/>
          </rPr>
          <t>ACT 
Actual Measurements
You have made the allowances.
NAM
No Allowances Made 
The factory will make the deductions.</t>
        </r>
      </text>
    </comment>
    <comment ref="M48" authorId="0" shapeId="0" xr:uid="{00000000-0006-0000-0400-00001D020000}">
      <text>
        <r>
          <rPr>
            <sz val="8"/>
            <color indexed="81"/>
            <rFont val="Tahoma"/>
            <family val="2"/>
          </rPr>
          <t xml:space="preserve">
Bottom Rail Colour options;
Clear Anodised
Metallic Black
Mocha
White
White Birch</t>
        </r>
      </text>
    </comment>
    <comment ref="O48" authorId="0" shapeId="0" xr:uid="{00000000-0006-0000-0400-00001E020000}">
      <text>
        <r>
          <rPr>
            <sz val="8"/>
            <color indexed="81"/>
            <rFont val="Tahoma"/>
            <family val="2"/>
          </rPr>
          <t>Control Options are;
Left
Right
When Bracket Type is Link Together, 
Left or Right can only be selected once per Linked Set.</t>
        </r>
      </text>
    </comment>
    <comment ref="Q48" authorId="0" shapeId="0" xr:uid="{00000000-0006-0000-0400-00001F020000}">
      <text>
        <r>
          <rPr>
            <sz val="8"/>
            <color indexed="81"/>
            <rFont val="Tahoma"/>
            <family val="2"/>
          </rPr>
          <t>Chain Length options are; 
Default
500mm
750mm
1000mm
1250mm
1500mm
2000mm</t>
        </r>
      </text>
    </comment>
    <comment ref="R48" authorId="0" shapeId="0" xr:uid="{00000000-0006-0000-0400-000020020000}">
      <text>
        <r>
          <rPr>
            <sz val="8"/>
            <color indexed="81"/>
            <rFont val="Tahoma"/>
            <family val="2"/>
          </rPr>
          <t>Chain Colour options are; 
White
White Birch
Black
Nickel Plated Brass
Stainless Steel</t>
        </r>
      </text>
    </comment>
    <comment ref="S48" authorId="0" shapeId="0" xr:uid="{00000000-0006-0000-0400-000021020000}">
      <text>
        <r>
          <rPr>
            <sz val="8"/>
            <color indexed="81"/>
            <rFont val="Tahoma"/>
            <family val="2"/>
          </rPr>
          <t>When
 Standard or Common 
is selected the 
Pelmet Colour 
must be entered.</t>
        </r>
      </text>
    </comment>
    <comment ref="W48" authorId="0" shapeId="0" xr:uid="{00000000-0006-0000-0400-000022020000}">
      <text>
        <r>
          <rPr>
            <sz val="8"/>
            <color indexed="81"/>
            <rFont val="Tahoma"/>
            <family val="2"/>
          </rPr>
          <t>Bracket Options include:
All other options;
Standard
Double
Link
Double Link</t>
        </r>
      </text>
    </comment>
    <comment ref="X48" authorId="0" shapeId="0" xr:uid="{00000000-0006-0000-0400-00002302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49" authorId="0" shapeId="0" xr:uid="{00000000-0006-0000-0400-000024020000}">
      <text>
        <r>
          <rPr>
            <sz val="8"/>
            <color indexed="81"/>
            <rFont val="Tahoma"/>
            <family val="2"/>
          </rPr>
          <t>Products options are;
London
Maui
Paris
Sunscreen</t>
        </r>
      </text>
    </comment>
    <comment ref="E49" authorId="0" shapeId="0" xr:uid="{00000000-0006-0000-0400-00002502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49" authorId="0" shapeId="0" xr:uid="{00000000-0006-0000-0400-00002602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9" authorId="0" shapeId="0" xr:uid="{00000000-0006-0000-0400-000027020000}">
      <text>
        <r>
          <rPr>
            <sz val="8"/>
            <color indexed="81"/>
            <rFont val="Tahoma"/>
            <family val="2"/>
          </rPr>
          <t xml:space="preserve">Minimum Height/Drop is 300mm.
Maximum Height/Drop is 3000mm. </t>
        </r>
      </text>
    </comment>
    <comment ref="H49" authorId="0" shapeId="0" xr:uid="{00000000-0006-0000-0400-000028020000}">
      <text>
        <r>
          <rPr>
            <sz val="8"/>
            <color indexed="81"/>
            <rFont val="Tahoma"/>
            <family val="2"/>
          </rPr>
          <t>When selecting a
Corner or Bay 
Window Type, 
the 
CMB Corner WS 
or 
CMB Bay WS 
must be completed.</t>
        </r>
      </text>
    </comment>
    <comment ref="J49" authorId="0" shapeId="0" xr:uid="{00000000-0006-0000-0400-000029020000}">
      <text>
        <r>
          <rPr>
            <sz val="8"/>
            <color indexed="81"/>
            <rFont val="Tahoma"/>
            <family val="2"/>
          </rPr>
          <t>ACT 
Actual Measurements
You have made the allowances.
NAM
No Allowances Made 
The factory will make the deductions.</t>
        </r>
      </text>
    </comment>
    <comment ref="M49" authorId="0" shapeId="0" xr:uid="{00000000-0006-0000-0400-00002A020000}">
      <text>
        <r>
          <rPr>
            <sz val="8"/>
            <color indexed="81"/>
            <rFont val="Tahoma"/>
            <family val="2"/>
          </rPr>
          <t xml:space="preserve">
Bottom Rail Colour options;
Clear Anodised
Metallic Black
Mocha
White
White Birch</t>
        </r>
      </text>
    </comment>
    <comment ref="O49" authorId="0" shapeId="0" xr:uid="{00000000-0006-0000-0400-00002B020000}">
      <text>
        <r>
          <rPr>
            <sz val="8"/>
            <color indexed="81"/>
            <rFont val="Tahoma"/>
            <family val="2"/>
          </rPr>
          <t>Control Options are;
Left
Right
When Bracket Type is Link Together, 
Left or Right can only be selected once per Linked Set.</t>
        </r>
      </text>
    </comment>
    <comment ref="Q49" authorId="0" shapeId="0" xr:uid="{00000000-0006-0000-0400-00002C020000}">
      <text>
        <r>
          <rPr>
            <sz val="8"/>
            <color indexed="81"/>
            <rFont val="Tahoma"/>
            <family val="2"/>
          </rPr>
          <t>Chain Length options are; 
Default
500mm
750mm
1000mm
1250mm
1500mm
2000mm</t>
        </r>
      </text>
    </comment>
    <comment ref="R49" authorId="0" shapeId="0" xr:uid="{00000000-0006-0000-0400-00002D020000}">
      <text>
        <r>
          <rPr>
            <sz val="8"/>
            <color indexed="81"/>
            <rFont val="Tahoma"/>
            <family val="2"/>
          </rPr>
          <t>Chain Colour options are; 
White
White Birch
Black
Nickel Plated Brass
Stainless Steel</t>
        </r>
      </text>
    </comment>
    <comment ref="S49" authorId="0" shapeId="0" xr:uid="{00000000-0006-0000-0400-00002E020000}">
      <text>
        <r>
          <rPr>
            <sz val="8"/>
            <color indexed="81"/>
            <rFont val="Tahoma"/>
            <family val="2"/>
          </rPr>
          <t>When
 Standard or Common 
is selected the 
Pelmet Colour 
must be entered.</t>
        </r>
      </text>
    </comment>
    <comment ref="W49" authorId="0" shapeId="0" xr:uid="{00000000-0006-0000-0400-00002F020000}">
      <text>
        <r>
          <rPr>
            <sz val="8"/>
            <color indexed="81"/>
            <rFont val="Tahoma"/>
            <family val="2"/>
          </rPr>
          <t>Bracket Options include:
All other options;
Standard
Double
Link
Double Link</t>
        </r>
      </text>
    </comment>
    <comment ref="X49" authorId="0" shapeId="0" xr:uid="{00000000-0006-0000-0400-00003002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50" authorId="0" shapeId="0" xr:uid="{00000000-0006-0000-0400-000031020000}">
      <text>
        <r>
          <rPr>
            <sz val="8"/>
            <color indexed="81"/>
            <rFont val="Tahoma"/>
            <family val="2"/>
          </rPr>
          <t>Products options are;
London
Maui
Paris
Sunscreen</t>
        </r>
      </text>
    </comment>
    <comment ref="E50" authorId="0" shapeId="0" xr:uid="{00000000-0006-0000-0400-00003202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50" authorId="0" shapeId="0" xr:uid="{00000000-0006-0000-0400-00003302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0" authorId="0" shapeId="0" xr:uid="{00000000-0006-0000-0400-000034020000}">
      <text>
        <r>
          <rPr>
            <sz val="8"/>
            <color indexed="81"/>
            <rFont val="Tahoma"/>
            <family val="2"/>
          </rPr>
          <t xml:space="preserve">Minimum Height/Drop is 300mm.
Maximum Height/Drop is 3000mm. </t>
        </r>
      </text>
    </comment>
    <comment ref="H50" authorId="0" shapeId="0" xr:uid="{00000000-0006-0000-0400-000035020000}">
      <text>
        <r>
          <rPr>
            <sz val="8"/>
            <color indexed="81"/>
            <rFont val="Tahoma"/>
            <family val="2"/>
          </rPr>
          <t>When selecting a
Corner or Bay 
Window Type, 
the 
CMB Corner WS 
or 
CMB Bay WS 
must be completed.</t>
        </r>
      </text>
    </comment>
    <comment ref="J50" authorId="0" shapeId="0" xr:uid="{00000000-0006-0000-0400-000036020000}">
      <text>
        <r>
          <rPr>
            <sz val="8"/>
            <color indexed="81"/>
            <rFont val="Tahoma"/>
            <family val="2"/>
          </rPr>
          <t>ACT 
Actual Measurements
You have made the allowances.
NAM
No Allowances Made 
The factory will make the deductions.</t>
        </r>
      </text>
    </comment>
    <comment ref="M50" authorId="0" shapeId="0" xr:uid="{00000000-0006-0000-0400-000037020000}">
      <text>
        <r>
          <rPr>
            <sz val="8"/>
            <color indexed="81"/>
            <rFont val="Tahoma"/>
            <family val="2"/>
          </rPr>
          <t xml:space="preserve">
Bottom Rail Colour options;
Clear Anodised
Metallic Black
Mocha
White
White Birch</t>
        </r>
      </text>
    </comment>
    <comment ref="O50" authorId="0" shapeId="0" xr:uid="{00000000-0006-0000-0400-000038020000}">
      <text>
        <r>
          <rPr>
            <sz val="8"/>
            <color indexed="81"/>
            <rFont val="Tahoma"/>
            <family val="2"/>
          </rPr>
          <t>Control Options are;
Left
Right
When Bracket Type is Link Together, 
Left or Right can only be selected once per Linked Set.</t>
        </r>
      </text>
    </comment>
    <comment ref="Q50" authorId="0" shapeId="0" xr:uid="{00000000-0006-0000-0400-000039020000}">
      <text>
        <r>
          <rPr>
            <sz val="8"/>
            <color indexed="81"/>
            <rFont val="Tahoma"/>
            <family val="2"/>
          </rPr>
          <t>Chain Length options are; 
Default
500mm
750mm
1000mm
1250mm
1500mm
2000mm</t>
        </r>
      </text>
    </comment>
    <comment ref="R50" authorId="0" shapeId="0" xr:uid="{00000000-0006-0000-0400-00003A020000}">
      <text>
        <r>
          <rPr>
            <sz val="8"/>
            <color indexed="81"/>
            <rFont val="Tahoma"/>
            <family val="2"/>
          </rPr>
          <t>Chain Colour options are; 
White
White Birch
Black
Nickel Plated Brass
Stainless Steel</t>
        </r>
      </text>
    </comment>
    <comment ref="S50" authorId="0" shapeId="0" xr:uid="{00000000-0006-0000-0400-00003B020000}">
      <text>
        <r>
          <rPr>
            <sz val="8"/>
            <color indexed="81"/>
            <rFont val="Tahoma"/>
            <family val="2"/>
          </rPr>
          <t>When
 Standard or Common 
is selected the 
Pelmet Colour 
must be entered.</t>
        </r>
      </text>
    </comment>
    <comment ref="W50" authorId="0" shapeId="0" xr:uid="{00000000-0006-0000-0400-00003C020000}">
      <text>
        <r>
          <rPr>
            <sz val="8"/>
            <color indexed="81"/>
            <rFont val="Tahoma"/>
            <family val="2"/>
          </rPr>
          <t>Bracket Options include:
All other options;
Standard
Double
Link
Double Link</t>
        </r>
      </text>
    </comment>
    <comment ref="X50" authorId="0" shapeId="0" xr:uid="{00000000-0006-0000-0400-00003D02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51" authorId="0" shapeId="0" xr:uid="{00000000-0006-0000-0400-00003E020000}">
      <text>
        <r>
          <rPr>
            <sz val="8"/>
            <color indexed="81"/>
            <rFont val="Tahoma"/>
            <family val="2"/>
          </rPr>
          <t>Products options are;
London
Maui
Paris
Sunscreen</t>
        </r>
      </text>
    </comment>
    <comment ref="E51" authorId="0" shapeId="0" xr:uid="{00000000-0006-0000-0400-00003F02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51" authorId="0" shapeId="0" xr:uid="{00000000-0006-0000-0400-00004002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1" authorId="0" shapeId="0" xr:uid="{00000000-0006-0000-0400-000041020000}">
      <text>
        <r>
          <rPr>
            <sz val="8"/>
            <color indexed="81"/>
            <rFont val="Tahoma"/>
            <family val="2"/>
          </rPr>
          <t xml:space="preserve">Minimum Height/Drop is 300mm.
Maximum Height/Drop is 3000mm. </t>
        </r>
      </text>
    </comment>
    <comment ref="H51" authorId="0" shapeId="0" xr:uid="{00000000-0006-0000-0400-000042020000}">
      <text>
        <r>
          <rPr>
            <sz val="8"/>
            <color indexed="81"/>
            <rFont val="Tahoma"/>
            <family val="2"/>
          </rPr>
          <t>When selecting a
Corner or Bay 
Window Type, 
the 
CMB Corner WS 
or 
CMB Bay WS 
must be completed.</t>
        </r>
      </text>
    </comment>
    <comment ref="J51" authorId="0" shapeId="0" xr:uid="{00000000-0006-0000-0400-000043020000}">
      <text>
        <r>
          <rPr>
            <sz val="8"/>
            <color indexed="81"/>
            <rFont val="Tahoma"/>
            <family val="2"/>
          </rPr>
          <t>ACT 
Actual Measurements
You have made the allowances.
NAM
No Allowances Made 
The factory will make the deductions.</t>
        </r>
      </text>
    </comment>
    <comment ref="M51" authorId="0" shapeId="0" xr:uid="{00000000-0006-0000-0400-000044020000}">
      <text>
        <r>
          <rPr>
            <sz val="8"/>
            <color indexed="81"/>
            <rFont val="Tahoma"/>
            <family val="2"/>
          </rPr>
          <t xml:space="preserve">
Bottom Rail Colour options;
Clear Anodised
Metallic Black
Mocha
White
White Birch</t>
        </r>
      </text>
    </comment>
    <comment ref="O51" authorId="0" shapeId="0" xr:uid="{00000000-0006-0000-0400-000045020000}">
      <text>
        <r>
          <rPr>
            <sz val="8"/>
            <color indexed="81"/>
            <rFont val="Tahoma"/>
            <family val="2"/>
          </rPr>
          <t>Control Options are;
Left
Right
When Bracket Type is Link Together, 
Left or Right can only be selected once per Linked Set.</t>
        </r>
      </text>
    </comment>
    <comment ref="Q51" authorId="0" shapeId="0" xr:uid="{00000000-0006-0000-0400-000046020000}">
      <text>
        <r>
          <rPr>
            <sz val="8"/>
            <color indexed="81"/>
            <rFont val="Tahoma"/>
            <family val="2"/>
          </rPr>
          <t>Chain Length options are; 
Default
500mm
750mm
1000mm
1250mm
1500mm
2000mm</t>
        </r>
      </text>
    </comment>
    <comment ref="R51" authorId="0" shapeId="0" xr:uid="{00000000-0006-0000-0400-000047020000}">
      <text>
        <r>
          <rPr>
            <sz val="8"/>
            <color indexed="81"/>
            <rFont val="Tahoma"/>
            <family val="2"/>
          </rPr>
          <t>Chain Colour options are; 
White
White Birch
Black
Nickel Plated Brass
Stainless Steel</t>
        </r>
      </text>
    </comment>
    <comment ref="S51" authorId="0" shapeId="0" xr:uid="{00000000-0006-0000-0400-000048020000}">
      <text>
        <r>
          <rPr>
            <sz val="8"/>
            <color indexed="81"/>
            <rFont val="Tahoma"/>
            <family val="2"/>
          </rPr>
          <t>When
 Standard or Common 
is selected the 
Pelmet Colour 
must be entered.</t>
        </r>
      </text>
    </comment>
    <comment ref="W51" authorId="0" shapeId="0" xr:uid="{00000000-0006-0000-0400-000049020000}">
      <text>
        <r>
          <rPr>
            <sz val="8"/>
            <color indexed="81"/>
            <rFont val="Tahoma"/>
            <family val="2"/>
          </rPr>
          <t>Bracket Options include:
All other options;
Standard
Double
Link
Double Link</t>
        </r>
      </text>
    </comment>
    <comment ref="X51" authorId="0" shapeId="0" xr:uid="{00000000-0006-0000-0400-00004A02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52" authorId="0" shapeId="0" xr:uid="{00000000-0006-0000-0400-00004B020000}">
      <text>
        <r>
          <rPr>
            <sz val="8"/>
            <color indexed="81"/>
            <rFont val="Tahoma"/>
            <family val="2"/>
          </rPr>
          <t>Products options are;
London
Maui
Paris
Sunscreen</t>
        </r>
      </text>
    </comment>
    <comment ref="E52" authorId="0" shapeId="0" xr:uid="{00000000-0006-0000-0400-00004C02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52" authorId="0" shapeId="0" xr:uid="{00000000-0006-0000-0400-00004D02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2" authorId="0" shapeId="0" xr:uid="{00000000-0006-0000-0400-00004E020000}">
      <text>
        <r>
          <rPr>
            <sz val="8"/>
            <color indexed="81"/>
            <rFont val="Tahoma"/>
            <family val="2"/>
          </rPr>
          <t xml:space="preserve">Minimum Height/Drop is 300mm.
Maximum Height/Drop is 3000mm. </t>
        </r>
      </text>
    </comment>
    <comment ref="H52" authorId="0" shapeId="0" xr:uid="{00000000-0006-0000-0400-00004F020000}">
      <text>
        <r>
          <rPr>
            <sz val="8"/>
            <color indexed="81"/>
            <rFont val="Tahoma"/>
            <family val="2"/>
          </rPr>
          <t>When selecting a
Corner or Bay 
Window Type, 
the 
CMB Corner WS 
or 
CMB Bay WS 
must be completed.</t>
        </r>
      </text>
    </comment>
    <comment ref="J52" authorId="0" shapeId="0" xr:uid="{00000000-0006-0000-0400-000050020000}">
      <text>
        <r>
          <rPr>
            <sz val="8"/>
            <color indexed="81"/>
            <rFont val="Tahoma"/>
            <family val="2"/>
          </rPr>
          <t>ACT 
Actual Measurements
You have made the allowances.
NAM
No Allowances Made 
The factory will make the deductions.</t>
        </r>
      </text>
    </comment>
    <comment ref="M52" authorId="0" shapeId="0" xr:uid="{00000000-0006-0000-0400-000051020000}">
      <text>
        <r>
          <rPr>
            <sz val="8"/>
            <color indexed="81"/>
            <rFont val="Tahoma"/>
            <family val="2"/>
          </rPr>
          <t xml:space="preserve">
Bottom Rail Colour options;
Clear Anodised
Metallic Black
Mocha
White
White Birch</t>
        </r>
      </text>
    </comment>
    <comment ref="O52" authorId="0" shapeId="0" xr:uid="{00000000-0006-0000-0400-000052020000}">
      <text>
        <r>
          <rPr>
            <sz val="8"/>
            <color indexed="81"/>
            <rFont val="Tahoma"/>
            <family val="2"/>
          </rPr>
          <t>Control Options are;
Left
Right
When Bracket Type is Link Together, 
Left or Right can only be selected once per Linked Set.</t>
        </r>
      </text>
    </comment>
    <comment ref="Q52" authorId="0" shapeId="0" xr:uid="{00000000-0006-0000-0400-000053020000}">
      <text>
        <r>
          <rPr>
            <sz val="8"/>
            <color indexed="81"/>
            <rFont val="Tahoma"/>
            <family val="2"/>
          </rPr>
          <t>Chain Length options are; 
Default
500mm
750mm
1000mm
1250mm
1500mm
2000mm</t>
        </r>
      </text>
    </comment>
    <comment ref="R52" authorId="0" shapeId="0" xr:uid="{00000000-0006-0000-0400-000054020000}">
      <text>
        <r>
          <rPr>
            <sz val="8"/>
            <color indexed="81"/>
            <rFont val="Tahoma"/>
            <family val="2"/>
          </rPr>
          <t>Chain Colour options are; 
White
White Birch
Black
Nickel Plated Brass
Stainless Steel</t>
        </r>
      </text>
    </comment>
    <comment ref="S52" authorId="0" shapeId="0" xr:uid="{00000000-0006-0000-0400-000055020000}">
      <text>
        <r>
          <rPr>
            <sz val="8"/>
            <color indexed="81"/>
            <rFont val="Tahoma"/>
            <family val="2"/>
          </rPr>
          <t>When
 Standard or Common 
is selected the 
Pelmet Colour 
must be entered.</t>
        </r>
      </text>
    </comment>
    <comment ref="W52" authorId="0" shapeId="0" xr:uid="{00000000-0006-0000-0400-000056020000}">
      <text>
        <r>
          <rPr>
            <sz val="8"/>
            <color indexed="81"/>
            <rFont val="Tahoma"/>
            <family val="2"/>
          </rPr>
          <t>Bracket Options include:
All other options;
Standard
Double
Link
Double Link</t>
        </r>
      </text>
    </comment>
    <comment ref="X52" authorId="0" shapeId="0" xr:uid="{00000000-0006-0000-0400-00005702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53" authorId="0" shapeId="0" xr:uid="{00000000-0006-0000-0400-000058020000}">
      <text>
        <r>
          <rPr>
            <sz val="8"/>
            <color indexed="81"/>
            <rFont val="Tahoma"/>
            <family val="2"/>
          </rPr>
          <t>Products options are;
London
Maui
Paris
Sunscreen</t>
        </r>
      </text>
    </comment>
    <comment ref="E53" authorId="0" shapeId="0" xr:uid="{00000000-0006-0000-0400-00005902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53" authorId="0" shapeId="0" xr:uid="{00000000-0006-0000-0400-00005A02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3" authorId="0" shapeId="0" xr:uid="{00000000-0006-0000-0400-00005B020000}">
      <text>
        <r>
          <rPr>
            <sz val="8"/>
            <color indexed="81"/>
            <rFont val="Tahoma"/>
            <family val="2"/>
          </rPr>
          <t xml:space="preserve">Minimum Height/Drop is 300mm.
Maximum Height/Drop is 3000mm. </t>
        </r>
      </text>
    </comment>
    <comment ref="H53" authorId="0" shapeId="0" xr:uid="{00000000-0006-0000-0400-00005C020000}">
      <text>
        <r>
          <rPr>
            <sz val="8"/>
            <color indexed="81"/>
            <rFont val="Tahoma"/>
            <family val="2"/>
          </rPr>
          <t>When selecting a
Corner or Bay 
Window Type, 
the 
CMB Corner WS 
or 
CMB Bay WS 
must be completed.</t>
        </r>
      </text>
    </comment>
    <comment ref="J53" authorId="0" shapeId="0" xr:uid="{00000000-0006-0000-0400-00005D020000}">
      <text>
        <r>
          <rPr>
            <sz val="8"/>
            <color indexed="81"/>
            <rFont val="Tahoma"/>
            <family val="2"/>
          </rPr>
          <t>ACT 
Actual Measurements
You have made the allowances.
NAM
No Allowances Made 
The factory will make the deductions.</t>
        </r>
      </text>
    </comment>
    <comment ref="M53" authorId="0" shapeId="0" xr:uid="{00000000-0006-0000-0400-00005E020000}">
      <text>
        <r>
          <rPr>
            <sz val="8"/>
            <color indexed="81"/>
            <rFont val="Tahoma"/>
            <family val="2"/>
          </rPr>
          <t xml:space="preserve">
Bottom Rail Colour options;
Clear Anodised
Metallic Black
Mocha
White
White Birch</t>
        </r>
      </text>
    </comment>
    <comment ref="O53" authorId="0" shapeId="0" xr:uid="{00000000-0006-0000-0400-00005F020000}">
      <text>
        <r>
          <rPr>
            <sz val="8"/>
            <color indexed="81"/>
            <rFont val="Tahoma"/>
            <family val="2"/>
          </rPr>
          <t>Control Options are;
Left
Right
When Bracket Type is Link Together, 
Left or Right can only be selected once per Linked Set.</t>
        </r>
      </text>
    </comment>
    <comment ref="Q53" authorId="0" shapeId="0" xr:uid="{00000000-0006-0000-0400-000060020000}">
      <text>
        <r>
          <rPr>
            <sz val="8"/>
            <color indexed="81"/>
            <rFont val="Tahoma"/>
            <family val="2"/>
          </rPr>
          <t>Chain Length options are; 
Default
500mm
750mm
1000mm
1250mm
1500mm
2000mm</t>
        </r>
      </text>
    </comment>
    <comment ref="R53" authorId="0" shapeId="0" xr:uid="{00000000-0006-0000-0400-000061020000}">
      <text>
        <r>
          <rPr>
            <sz val="8"/>
            <color indexed="81"/>
            <rFont val="Tahoma"/>
            <family val="2"/>
          </rPr>
          <t>Chain Colour options are; 
White
White Birch
Black
Nickel Plated Brass
Stainless Steel</t>
        </r>
      </text>
    </comment>
    <comment ref="S53" authorId="0" shapeId="0" xr:uid="{00000000-0006-0000-0400-000062020000}">
      <text>
        <r>
          <rPr>
            <sz val="8"/>
            <color indexed="81"/>
            <rFont val="Tahoma"/>
            <family val="2"/>
          </rPr>
          <t>When
 Standard or Common 
is selected the 
Pelmet Colour 
must be entered.</t>
        </r>
      </text>
    </comment>
    <comment ref="W53" authorId="0" shapeId="0" xr:uid="{00000000-0006-0000-0400-000063020000}">
      <text>
        <r>
          <rPr>
            <sz val="8"/>
            <color indexed="81"/>
            <rFont val="Tahoma"/>
            <family val="2"/>
          </rPr>
          <t>Bracket Options include:
All other options;
Standard
Double
Link
Double Link</t>
        </r>
      </text>
    </comment>
    <comment ref="X53" authorId="0" shapeId="0" xr:uid="{00000000-0006-0000-0400-00006402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54" authorId="0" shapeId="0" xr:uid="{00000000-0006-0000-0400-000065020000}">
      <text>
        <r>
          <rPr>
            <sz val="8"/>
            <color indexed="81"/>
            <rFont val="Tahoma"/>
            <family val="2"/>
          </rPr>
          <t>Products options are;
London
Maui
Paris
Sunscreen</t>
        </r>
      </text>
    </comment>
    <comment ref="E54" authorId="0" shapeId="0" xr:uid="{00000000-0006-0000-0400-00006602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54" authorId="0" shapeId="0" xr:uid="{00000000-0006-0000-0400-00006702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4" authorId="0" shapeId="0" xr:uid="{00000000-0006-0000-0400-000068020000}">
      <text>
        <r>
          <rPr>
            <sz val="8"/>
            <color indexed="81"/>
            <rFont val="Tahoma"/>
            <family val="2"/>
          </rPr>
          <t xml:space="preserve">Minimum Height/Drop is 300mm.
Maximum Height/Drop is 3000mm. </t>
        </r>
      </text>
    </comment>
    <comment ref="H54" authorId="0" shapeId="0" xr:uid="{00000000-0006-0000-0400-000069020000}">
      <text>
        <r>
          <rPr>
            <sz val="8"/>
            <color indexed="81"/>
            <rFont val="Tahoma"/>
            <family val="2"/>
          </rPr>
          <t>When selecting a
Corner or Bay 
Window Type, 
the 
CMB Corner WS 
or 
CMB Bay WS 
must be completed.</t>
        </r>
      </text>
    </comment>
    <comment ref="J54" authorId="0" shapeId="0" xr:uid="{00000000-0006-0000-0400-00006A020000}">
      <text>
        <r>
          <rPr>
            <sz val="8"/>
            <color indexed="81"/>
            <rFont val="Tahoma"/>
            <family val="2"/>
          </rPr>
          <t>ACT 
Actual Measurements
You have made the allowances.
NAM
No Allowances Made 
The factory will make the deductions.</t>
        </r>
      </text>
    </comment>
    <comment ref="M54" authorId="0" shapeId="0" xr:uid="{00000000-0006-0000-0400-00006B020000}">
      <text>
        <r>
          <rPr>
            <sz val="8"/>
            <color indexed="81"/>
            <rFont val="Tahoma"/>
            <family val="2"/>
          </rPr>
          <t xml:space="preserve">
Bottom Rail Colour options;
Clear Anodised
Metallic Black
Mocha
White
White Birch</t>
        </r>
      </text>
    </comment>
    <comment ref="O54" authorId="0" shapeId="0" xr:uid="{00000000-0006-0000-0400-00006C020000}">
      <text>
        <r>
          <rPr>
            <sz val="8"/>
            <color indexed="81"/>
            <rFont val="Tahoma"/>
            <family val="2"/>
          </rPr>
          <t>Control Options are;
Left
Right
When Bracket Type is Link Together, 
Left or Right can only be selected once per Linked Set.</t>
        </r>
      </text>
    </comment>
    <comment ref="Q54" authorId="0" shapeId="0" xr:uid="{00000000-0006-0000-0400-00006D020000}">
      <text>
        <r>
          <rPr>
            <sz val="8"/>
            <color indexed="81"/>
            <rFont val="Tahoma"/>
            <family val="2"/>
          </rPr>
          <t>Chain Length options are; 
Default
500mm
750mm
1000mm
1250mm
1500mm
2000mm</t>
        </r>
      </text>
    </comment>
    <comment ref="R54" authorId="0" shapeId="0" xr:uid="{00000000-0006-0000-0400-00006E020000}">
      <text>
        <r>
          <rPr>
            <sz val="8"/>
            <color indexed="81"/>
            <rFont val="Tahoma"/>
            <family val="2"/>
          </rPr>
          <t>Chain Colour options are; 
White
White Birch
Black
Nickel Plated Brass
Stainless Steel</t>
        </r>
      </text>
    </comment>
    <comment ref="S54" authorId="0" shapeId="0" xr:uid="{00000000-0006-0000-0400-00006F020000}">
      <text>
        <r>
          <rPr>
            <sz val="8"/>
            <color indexed="81"/>
            <rFont val="Tahoma"/>
            <family val="2"/>
          </rPr>
          <t>When
 Standard or Common 
is selected the 
Pelmet Colour 
must be entered.</t>
        </r>
      </text>
    </comment>
    <comment ref="W54" authorId="0" shapeId="0" xr:uid="{00000000-0006-0000-0400-000070020000}">
      <text>
        <r>
          <rPr>
            <sz val="8"/>
            <color indexed="81"/>
            <rFont val="Tahoma"/>
            <family val="2"/>
          </rPr>
          <t>Bracket Options include:
All other options;
Standard
Double
Link
Double Link</t>
        </r>
      </text>
    </comment>
    <comment ref="X54" authorId="0" shapeId="0" xr:uid="{00000000-0006-0000-0400-00007102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55" authorId="0" shapeId="0" xr:uid="{00000000-0006-0000-0400-000072020000}">
      <text>
        <r>
          <rPr>
            <sz val="8"/>
            <color indexed="81"/>
            <rFont val="Tahoma"/>
            <family val="2"/>
          </rPr>
          <t>Products options are;
London
Maui
Paris
Sunscreen</t>
        </r>
      </text>
    </comment>
    <comment ref="E55" authorId="0" shapeId="0" xr:uid="{00000000-0006-0000-0400-00007302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55" authorId="0" shapeId="0" xr:uid="{00000000-0006-0000-0400-00007402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5" authorId="0" shapeId="0" xr:uid="{00000000-0006-0000-0400-000075020000}">
      <text>
        <r>
          <rPr>
            <sz val="8"/>
            <color indexed="81"/>
            <rFont val="Tahoma"/>
            <family val="2"/>
          </rPr>
          <t xml:space="preserve">Minimum Height/Drop is 300mm.
Maximum Height/Drop is 3000mm. </t>
        </r>
      </text>
    </comment>
    <comment ref="H55" authorId="0" shapeId="0" xr:uid="{00000000-0006-0000-0400-000076020000}">
      <text>
        <r>
          <rPr>
            <sz val="8"/>
            <color indexed="81"/>
            <rFont val="Tahoma"/>
            <family val="2"/>
          </rPr>
          <t>When selecting a
Corner or Bay 
Window Type, 
the 
CMB Corner WS 
or 
CMB Bay WS 
must be completed.</t>
        </r>
      </text>
    </comment>
    <comment ref="J55" authorId="0" shapeId="0" xr:uid="{00000000-0006-0000-0400-000077020000}">
      <text>
        <r>
          <rPr>
            <sz val="8"/>
            <color indexed="81"/>
            <rFont val="Tahoma"/>
            <family val="2"/>
          </rPr>
          <t>ACT 
Actual Measurements
You have made the allowances.
NAM
No Allowances Made 
The factory will make the deductions.</t>
        </r>
      </text>
    </comment>
    <comment ref="M55" authorId="0" shapeId="0" xr:uid="{00000000-0006-0000-0400-000078020000}">
      <text>
        <r>
          <rPr>
            <sz val="8"/>
            <color indexed="81"/>
            <rFont val="Tahoma"/>
            <family val="2"/>
          </rPr>
          <t xml:space="preserve">
Bottom Rail Colour options;
Clear Anodised
Metallic Black
Mocha
White
White Birch</t>
        </r>
      </text>
    </comment>
    <comment ref="O55" authorId="0" shapeId="0" xr:uid="{00000000-0006-0000-0400-000079020000}">
      <text>
        <r>
          <rPr>
            <sz val="8"/>
            <color indexed="81"/>
            <rFont val="Tahoma"/>
            <family val="2"/>
          </rPr>
          <t>Control Options are;
Left
Right
When Bracket Type is Link Together, 
Left or Right can only be selected once per Linked Set.</t>
        </r>
      </text>
    </comment>
    <comment ref="Q55" authorId="0" shapeId="0" xr:uid="{00000000-0006-0000-0400-00007A020000}">
      <text>
        <r>
          <rPr>
            <sz val="8"/>
            <color indexed="81"/>
            <rFont val="Tahoma"/>
            <family val="2"/>
          </rPr>
          <t>Chain Length options are; 
Default
500mm
750mm
1000mm
1250mm
1500mm
2000mm</t>
        </r>
      </text>
    </comment>
    <comment ref="R55" authorId="0" shapeId="0" xr:uid="{00000000-0006-0000-0400-00007B020000}">
      <text>
        <r>
          <rPr>
            <sz val="8"/>
            <color indexed="81"/>
            <rFont val="Tahoma"/>
            <family val="2"/>
          </rPr>
          <t>Chain Colour options are; 
White
White Birch
Black
Nickel Plated Brass
Stainless Steel</t>
        </r>
      </text>
    </comment>
    <comment ref="S55" authorId="0" shapeId="0" xr:uid="{00000000-0006-0000-0400-00007C020000}">
      <text>
        <r>
          <rPr>
            <sz val="8"/>
            <color indexed="81"/>
            <rFont val="Tahoma"/>
            <family val="2"/>
          </rPr>
          <t>When
 Standard or Common 
is selected the 
Pelmet Colour 
must be entered.</t>
        </r>
      </text>
    </comment>
    <comment ref="W55" authorId="0" shapeId="0" xr:uid="{00000000-0006-0000-0400-00007D020000}">
      <text>
        <r>
          <rPr>
            <sz val="8"/>
            <color indexed="81"/>
            <rFont val="Tahoma"/>
            <family val="2"/>
          </rPr>
          <t>Bracket Options include:
All other options;
Standard
Double
Link
Double Link</t>
        </r>
      </text>
    </comment>
    <comment ref="X55" authorId="0" shapeId="0" xr:uid="{00000000-0006-0000-0400-00007E02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56" authorId="0" shapeId="0" xr:uid="{00000000-0006-0000-0400-00007F020000}">
      <text>
        <r>
          <rPr>
            <sz val="8"/>
            <color indexed="81"/>
            <rFont val="Tahoma"/>
            <family val="2"/>
          </rPr>
          <t>Products options are;
London
Maui
Paris
Sunscreen</t>
        </r>
      </text>
    </comment>
    <comment ref="E56" authorId="0" shapeId="0" xr:uid="{00000000-0006-0000-0400-00008002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56" authorId="0" shapeId="0" xr:uid="{00000000-0006-0000-0400-00008102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6" authorId="0" shapeId="0" xr:uid="{00000000-0006-0000-0400-000082020000}">
      <text>
        <r>
          <rPr>
            <sz val="8"/>
            <color indexed="81"/>
            <rFont val="Tahoma"/>
            <family val="2"/>
          </rPr>
          <t xml:space="preserve">Minimum Height/Drop is 300mm.
Maximum Height/Drop is 3000mm. </t>
        </r>
      </text>
    </comment>
    <comment ref="H56" authorId="0" shapeId="0" xr:uid="{00000000-0006-0000-0400-000083020000}">
      <text>
        <r>
          <rPr>
            <sz val="8"/>
            <color indexed="81"/>
            <rFont val="Tahoma"/>
            <family val="2"/>
          </rPr>
          <t>When selecting a
Corner or Bay 
Window Type, 
the 
CMB Corner WS 
or 
CMB Bay WS 
must be completed.</t>
        </r>
      </text>
    </comment>
    <comment ref="J56" authorId="0" shapeId="0" xr:uid="{00000000-0006-0000-0400-000084020000}">
      <text>
        <r>
          <rPr>
            <sz val="8"/>
            <color indexed="81"/>
            <rFont val="Tahoma"/>
            <family val="2"/>
          </rPr>
          <t>ACT 
Actual Measurements
You have made the allowances.
NAM
No Allowances Made 
The factory will make the deductions.</t>
        </r>
      </text>
    </comment>
    <comment ref="M56" authorId="0" shapeId="0" xr:uid="{00000000-0006-0000-0400-000085020000}">
      <text>
        <r>
          <rPr>
            <sz val="8"/>
            <color indexed="81"/>
            <rFont val="Tahoma"/>
            <family val="2"/>
          </rPr>
          <t xml:space="preserve">
Bottom Rail Colour options;
Clear Anodised
Metallic Black
Mocha
White
White Birch</t>
        </r>
      </text>
    </comment>
    <comment ref="O56" authorId="0" shapeId="0" xr:uid="{00000000-0006-0000-0400-000086020000}">
      <text>
        <r>
          <rPr>
            <sz val="8"/>
            <color indexed="81"/>
            <rFont val="Tahoma"/>
            <family val="2"/>
          </rPr>
          <t>Control Options are;
Left
Right
When Bracket Type is Link Together, 
Left or Right can only be selected once per Linked Set.</t>
        </r>
      </text>
    </comment>
    <comment ref="Q56" authorId="0" shapeId="0" xr:uid="{00000000-0006-0000-0400-000087020000}">
      <text>
        <r>
          <rPr>
            <sz val="8"/>
            <color indexed="81"/>
            <rFont val="Tahoma"/>
            <family val="2"/>
          </rPr>
          <t>Chain Length options are; 
Default
500mm
750mm
1000mm
1250mm
1500mm
2000mm</t>
        </r>
      </text>
    </comment>
    <comment ref="R56" authorId="0" shapeId="0" xr:uid="{00000000-0006-0000-0400-000088020000}">
      <text>
        <r>
          <rPr>
            <sz val="8"/>
            <color indexed="81"/>
            <rFont val="Tahoma"/>
            <family val="2"/>
          </rPr>
          <t>Chain Colour options are; 
White
White Birch
Black
Nickel Plated Brass
Stainless Steel</t>
        </r>
      </text>
    </comment>
    <comment ref="S56" authorId="0" shapeId="0" xr:uid="{00000000-0006-0000-0400-000089020000}">
      <text>
        <r>
          <rPr>
            <sz val="8"/>
            <color indexed="81"/>
            <rFont val="Tahoma"/>
            <family val="2"/>
          </rPr>
          <t>When
 Standard or Common 
is selected the 
Pelmet Colour 
must be entered.</t>
        </r>
      </text>
    </comment>
    <comment ref="W56" authorId="0" shapeId="0" xr:uid="{00000000-0006-0000-0400-00008A020000}">
      <text>
        <r>
          <rPr>
            <sz val="8"/>
            <color indexed="81"/>
            <rFont val="Tahoma"/>
            <family val="2"/>
          </rPr>
          <t>Bracket Options include:
All other options;
Standard
Double
Link
Double Link</t>
        </r>
      </text>
    </comment>
    <comment ref="X56" authorId="0" shapeId="0" xr:uid="{00000000-0006-0000-0400-00008B02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 ref="D57" authorId="0" shapeId="0" xr:uid="{00000000-0006-0000-0400-00008C020000}">
      <text>
        <r>
          <rPr>
            <sz val="8"/>
            <color indexed="81"/>
            <rFont val="Tahoma"/>
            <family val="2"/>
          </rPr>
          <t>Products options are;
London
Maui
Paris
Sunscreen</t>
        </r>
      </text>
    </comment>
    <comment ref="E57" authorId="0" shapeId="0" xr:uid="{00000000-0006-0000-0400-00008D020000}">
      <text>
        <r>
          <rPr>
            <sz val="8"/>
            <color indexed="81"/>
            <rFont val="Tahoma"/>
            <family val="2"/>
          </rPr>
          <t>Fabric &amp; Colour can only be selected once the Product has been entered.
Colours available;
London; Biscuit, Dune, Dusk, Linen, Natural, Onyx, White Talc 
Maui; Espresso, Latte, Off White, Pebble, Sand
Paris; Ash Grey, Ashmere, Black, Bone, Burnt Sienna, Camel, Champagne, 
Cocoa, Essence, Fawn, Hazelnut, Latte, Natural, Pacific Blue, 
Scarlet, Slate, Soft White, Stone, Turquoise, White
Sunscreen; Bronze, Charcoal, Fox, Jasper, Pumice, Slate, Storm, Vanilla, White</t>
        </r>
      </text>
    </comment>
    <comment ref="F57" authorId="0" shapeId="0" xr:uid="{00000000-0006-0000-0400-00008E020000}">
      <text>
        <r>
          <rPr>
            <sz val="8"/>
            <color indexed="81"/>
            <rFont val="Tahoma"/>
            <family val="2"/>
          </rPr>
          <t xml:space="preserve">Minimum Width is 300mm.
For London &amp; Maui the 
Maximum Width is 2800mm.
For Paris &amp; Sunscreen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7" authorId="0" shapeId="0" xr:uid="{00000000-0006-0000-0400-00008F020000}">
      <text>
        <r>
          <rPr>
            <sz val="8"/>
            <color indexed="81"/>
            <rFont val="Tahoma"/>
            <family val="2"/>
          </rPr>
          <t xml:space="preserve">Minimum Height/Drop is 300mm.
Maximum Height/Drop is 3000mm. </t>
        </r>
      </text>
    </comment>
    <comment ref="H57" authorId="0" shapeId="0" xr:uid="{00000000-0006-0000-0400-000090020000}">
      <text>
        <r>
          <rPr>
            <sz val="8"/>
            <color indexed="81"/>
            <rFont val="Tahoma"/>
            <family val="2"/>
          </rPr>
          <t>When selecting a
Corner or Bay 
Window Type, 
the 
CMB Corner WS 
or 
CMB Bay WS 
must be completed.</t>
        </r>
      </text>
    </comment>
    <comment ref="J57" authorId="0" shapeId="0" xr:uid="{00000000-0006-0000-0400-000091020000}">
      <text>
        <r>
          <rPr>
            <sz val="8"/>
            <color indexed="81"/>
            <rFont val="Tahoma"/>
            <family val="2"/>
          </rPr>
          <t>ACT 
Actual Measurements
You have made the allowances.
NAM
No Allowances Made 
The factory will make the deductions.</t>
        </r>
      </text>
    </comment>
    <comment ref="M57" authorId="0" shapeId="0" xr:uid="{00000000-0006-0000-0400-000092020000}">
      <text>
        <r>
          <rPr>
            <sz val="8"/>
            <color indexed="81"/>
            <rFont val="Tahoma"/>
            <family val="2"/>
          </rPr>
          <t xml:space="preserve">
Bottom Rail Colour options;
Clear Anodised
Metallic Black
Mocha
White
White Birch</t>
        </r>
      </text>
    </comment>
    <comment ref="O57" authorId="0" shapeId="0" xr:uid="{00000000-0006-0000-0400-000093020000}">
      <text>
        <r>
          <rPr>
            <sz val="8"/>
            <color indexed="81"/>
            <rFont val="Tahoma"/>
            <family val="2"/>
          </rPr>
          <t>Control Options are;
Left
Right
When Bracket Type is Link Together, 
Left or Right can only be selected once per Linked Set.</t>
        </r>
      </text>
    </comment>
    <comment ref="Q57" authorId="0" shapeId="0" xr:uid="{00000000-0006-0000-0400-000094020000}">
      <text>
        <r>
          <rPr>
            <sz val="8"/>
            <color indexed="81"/>
            <rFont val="Tahoma"/>
            <family val="2"/>
          </rPr>
          <t>Chain Length options are; 
Default
500mm
750mm
1000mm
1250mm
1500mm
2000mm</t>
        </r>
      </text>
    </comment>
    <comment ref="R57" authorId="0" shapeId="0" xr:uid="{00000000-0006-0000-0400-000095020000}">
      <text>
        <r>
          <rPr>
            <sz val="8"/>
            <color indexed="81"/>
            <rFont val="Tahoma"/>
            <family val="2"/>
          </rPr>
          <t>Chain Colour options are; 
White
White Birch
Black
Nickel Plated Brass
Stainless Steel</t>
        </r>
      </text>
    </comment>
    <comment ref="S57" authorId="0" shapeId="0" xr:uid="{00000000-0006-0000-0400-000096020000}">
      <text>
        <r>
          <rPr>
            <sz val="8"/>
            <color indexed="81"/>
            <rFont val="Tahoma"/>
            <family val="2"/>
          </rPr>
          <t>When
 Standard or Common 
is selected the 
Pelmet Colour 
must be entered.</t>
        </r>
      </text>
    </comment>
    <comment ref="W57" authorId="0" shapeId="0" xr:uid="{00000000-0006-0000-0400-000097020000}">
      <text>
        <r>
          <rPr>
            <sz val="8"/>
            <color indexed="81"/>
            <rFont val="Tahoma"/>
            <family val="2"/>
          </rPr>
          <t>Bracket Options include:
All other options;
Standard
Double
Link
Double Link</t>
        </r>
      </text>
    </comment>
    <comment ref="X57" authorId="0" shapeId="0" xr:uid="{00000000-0006-0000-0400-000098020000}">
      <text>
        <r>
          <rPr>
            <sz val="8"/>
            <color indexed="81"/>
            <rFont val="Tahoma"/>
            <family val="2"/>
          </rPr>
          <t xml:space="preserve">Blinds larger than 2130mm Width or 2100mm Height will require a 45mm Tube.
This affects the Double and Double Link Bracket option types.
For 38mm Tube there are Double/Double Link Brackets in Standard and Slimline options.
For 45mm Tube there are Double/Double Link Brackets in Slimline options only.
The options are dependent based on the dimensions of the Blind.
</t>
        </r>
        <r>
          <rPr>
            <sz val="9"/>
            <color indexed="81"/>
            <rFont val="Tahoma"/>
            <family val="2"/>
          </rPr>
          <t xml:space="preserve">
If you want the </t>
        </r>
        <r>
          <rPr>
            <sz val="8"/>
            <color indexed="81"/>
            <rFont val="Tahoma"/>
            <family val="2"/>
          </rPr>
          <t>Bracket option types and Tube size matched for continuity, then please specify which lines you want to match in the Special Comments section.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E7" authorId="0" shapeId="0" xr:uid="{00000000-0006-0000-0500-000001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H7" authorId="0" shapeId="0" xr:uid="{00000000-0006-0000-0500-000002000000}">
      <text>
        <r>
          <rPr>
            <sz val="8"/>
            <color indexed="81"/>
            <rFont val="Tahoma"/>
            <family val="2"/>
          </rPr>
          <t>When selecting a
Corner or Bay Window Type, 
the CMB Corner WS or CMB Bay WS 
must be completed.</t>
        </r>
      </text>
    </comment>
    <comment ref="J7" authorId="0" shapeId="0" xr:uid="{00000000-0006-0000-0500-000003000000}">
      <text>
        <r>
          <rPr>
            <sz val="8"/>
            <color indexed="81"/>
            <rFont val="Tahoma"/>
            <family val="2"/>
          </rPr>
          <t>ACT 
Actual Measurements
You have made the allowances.
NAM
No Allowances Made 
The factory will make the deductions.</t>
        </r>
      </text>
    </comment>
    <comment ref="T7" authorId="0" shapeId="0" xr:uid="{00000000-0006-0000-0500-000004000000}">
      <text>
        <r>
          <rPr>
            <sz val="8"/>
            <color indexed="81"/>
            <rFont val="Tahoma"/>
            <family val="2"/>
          </rPr>
          <t>The Quantity is 
automatically calculated.</t>
        </r>
      </text>
    </comment>
    <comment ref="E8" authorId="0" shapeId="0" xr:uid="{00000000-0006-0000-0500-000005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8" authorId="0" shapeId="0" xr:uid="{00000000-0006-0000-0500-000006000000}">
      <text>
        <r>
          <rPr>
            <sz val="8"/>
            <color indexed="81"/>
            <rFont val="Tahoma"/>
            <family val="2"/>
          </rPr>
          <t xml:space="preserve">Minimum Width is 500mm.
Maximum Width is 4800mm. </t>
        </r>
      </text>
    </comment>
    <comment ref="G8" authorId="0" shapeId="0" xr:uid="{00000000-0006-0000-0500-000007000000}">
      <text>
        <r>
          <rPr>
            <sz val="8"/>
            <color indexed="81"/>
            <rFont val="Tahoma"/>
            <family val="2"/>
          </rPr>
          <t xml:space="preserve">Minimum Height/Drop is 200mm.
Maximum Height/Drop is 3600mm. </t>
        </r>
      </text>
    </comment>
    <comment ref="H8" authorId="0" shapeId="0" xr:uid="{00000000-0006-0000-0500-000008000000}">
      <text>
        <r>
          <rPr>
            <sz val="8"/>
            <color indexed="81"/>
            <rFont val="Tahoma"/>
            <family val="2"/>
          </rPr>
          <t>When selecting a
Corner or Bay Window Type, 
the CMB Corner WS or CMB Bay WS 
must be completed.</t>
        </r>
      </text>
    </comment>
    <comment ref="J8" authorId="0" shapeId="0" xr:uid="{00000000-0006-0000-0500-000009000000}">
      <text>
        <r>
          <rPr>
            <sz val="8"/>
            <color indexed="81"/>
            <rFont val="Tahoma"/>
            <family val="2"/>
          </rPr>
          <t>ACT 
Actual Measurements
You have made the allowances.
NAM
No Allowances Made 
The factory will make the deductions.</t>
        </r>
      </text>
    </comment>
    <comment ref="O8" authorId="0" shapeId="0" xr:uid="{00000000-0006-0000-0500-00000A000000}">
      <text>
        <r>
          <rPr>
            <sz val="8"/>
            <color indexed="81"/>
            <rFont val="Tahoma"/>
            <family val="2"/>
          </rPr>
          <t>When Yes is selected the Pelmet Colour must be entered.</t>
        </r>
      </text>
    </comment>
    <comment ref="E9" authorId="0" shapeId="0" xr:uid="{00000000-0006-0000-0500-00000B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9" authorId="0" shapeId="0" xr:uid="{00000000-0006-0000-0500-00000C000000}">
      <text>
        <r>
          <rPr>
            <sz val="8"/>
            <color indexed="81"/>
            <rFont val="Tahoma"/>
            <family val="2"/>
          </rPr>
          <t xml:space="preserve">Minimum Width is 500mm.
Maximum Width is 4800mm. </t>
        </r>
      </text>
    </comment>
    <comment ref="G9" authorId="0" shapeId="0" xr:uid="{00000000-0006-0000-0500-00000D000000}">
      <text>
        <r>
          <rPr>
            <sz val="8"/>
            <color indexed="81"/>
            <rFont val="Tahoma"/>
            <family val="2"/>
          </rPr>
          <t xml:space="preserve">Minimum Height/Drop is 200mm.
Maximum Height/Drop is 3600mm. </t>
        </r>
      </text>
    </comment>
    <comment ref="H9" authorId="0" shapeId="0" xr:uid="{00000000-0006-0000-0500-00000E000000}">
      <text>
        <r>
          <rPr>
            <sz val="8"/>
            <color indexed="81"/>
            <rFont val="Tahoma"/>
            <family val="2"/>
          </rPr>
          <t>When selecting a
Corner or Bay Window Type, 
the CMB Corner WS or CMB Bay WS 
must be completed.</t>
        </r>
      </text>
    </comment>
    <comment ref="J9" authorId="0" shapeId="0" xr:uid="{00000000-0006-0000-0500-00000F000000}">
      <text>
        <r>
          <rPr>
            <sz val="8"/>
            <color indexed="81"/>
            <rFont val="Tahoma"/>
            <family val="2"/>
          </rPr>
          <t>ACT 
Actual Measurements
You have made the allowances.
NAM
No Allowances Made 
The factory will make the deductions.</t>
        </r>
      </text>
    </comment>
    <comment ref="O9" authorId="0" shapeId="0" xr:uid="{00000000-0006-0000-0500-000010000000}">
      <text>
        <r>
          <rPr>
            <sz val="8"/>
            <color indexed="81"/>
            <rFont val="Tahoma"/>
            <family val="2"/>
          </rPr>
          <t>When Yes is selected the Pelmet Colour must be entered.</t>
        </r>
      </text>
    </comment>
    <comment ref="E10" authorId="0" shapeId="0" xr:uid="{00000000-0006-0000-0500-000011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0" authorId="0" shapeId="0" xr:uid="{00000000-0006-0000-0500-000012000000}">
      <text>
        <r>
          <rPr>
            <sz val="8"/>
            <color indexed="81"/>
            <rFont val="Tahoma"/>
            <family val="2"/>
          </rPr>
          <t xml:space="preserve">Minimum Width is 500mm.
Maximum Width is 4800mm. </t>
        </r>
      </text>
    </comment>
    <comment ref="G10" authorId="0" shapeId="0" xr:uid="{00000000-0006-0000-0500-000013000000}">
      <text>
        <r>
          <rPr>
            <sz val="8"/>
            <color indexed="81"/>
            <rFont val="Tahoma"/>
            <family val="2"/>
          </rPr>
          <t xml:space="preserve">Minimum Height/Drop is 200mm.
Maximum Height/Drop is 3600mm. </t>
        </r>
      </text>
    </comment>
    <comment ref="H10" authorId="0" shapeId="0" xr:uid="{00000000-0006-0000-0500-000014000000}">
      <text>
        <r>
          <rPr>
            <sz val="8"/>
            <color indexed="81"/>
            <rFont val="Tahoma"/>
            <family val="2"/>
          </rPr>
          <t>When selecting a
Corner or Bay Window Type, 
the CMB Corner WS or CMB Bay WS 
must be completed.</t>
        </r>
      </text>
    </comment>
    <comment ref="J10" authorId="0" shapeId="0" xr:uid="{00000000-0006-0000-0500-000015000000}">
      <text>
        <r>
          <rPr>
            <sz val="8"/>
            <color indexed="81"/>
            <rFont val="Tahoma"/>
            <family val="2"/>
          </rPr>
          <t>ACT 
Actual Measurements
You have made the allowances.
NAM
No Allowances Made 
The factory will make the deductions.</t>
        </r>
      </text>
    </comment>
    <comment ref="O10" authorId="0" shapeId="0" xr:uid="{00000000-0006-0000-0500-000016000000}">
      <text>
        <r>
          <rPr>
            <sz val="8"/>
            <color indexed="81"/>
            <rFont val="Tahoma"/>
            <family val="2"/>
          </rPr>
          <t>When Yes is selected the Pelmet Colour must be entered.</t>
        </r>
      </text>
    </comment>
    <comment ref="E11" authorId="0" shapeId="0" xr:uid="{00000000-0006-0000-0500-000017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1" authorId="0" shapeId="0" xr:uid="{00000000-0006-0000-0500-000018000000}">
      <text>
        <r>
          <rPr>
            <sz val="8"/>
            <color indexed="81"/>
            <rFont val="Tahoma"/>
            <family val="2"/>
          </rPr>
          <t xml:space="preserve">Minimum Width is 500mm.
Maximum Width is 4800mm. </t>
        </r>
      </text>
    </comment>
    <comment ref="G11" authorId="0" shapeId="0" xr:uid="{00000000-0006-0000-0500-000019000000}">
      <text>
        <r>
          <rPr>
            <sz val="8"/>
            <color indexed="81"/>
            <rFont val="Tahoma"/>
            <family val="2"/>
          </rPr>
          <t xml:space="preserve">Minimum Height/Drop is 200mm.
Maximum Height/Drop is 3600mm. </t>
        </r>
      </text>
    </comment>
    <comment ref="H11" authorId="0" shapeId="0" xr:uid="{00000000-0006-0000-0500-00001A000000}">
      <text>
        <r>
          <rPr>
            <sz val="8"/>
            <color indexed="81"/>
            <rFont val="Tahoma"/>
            <family val="2"/>
          </rPr>
          <t>When selecting a
Corner or Bay Window Type, 
the CMB Corner WS or CMB Bay WS 
must be completed.</t>
        </r>
      </text>
    </comment>
    <comment ref="J11" authorId="0" shapeId="0" xr:uid="{00000000-0006-0000-0500-00001B000000}">
      <text>
        <r>
          <rPr>
            <sz val="8"/>
            <color indexed="81"/>
            <rFont val="Tahoma"/>
            <family val="2"/>
          </rPr>
          <t>ACT 
Actual Measurements
You have made the allowances.
NAM
No Allowances Made 
The factory will make the deductions.</t>
        </r>
      </text>
    </comment>
    <comment ref="O11" authorId="0" shapeId="0" xr:uid="{00000000-0006-0000-0500-00001C000000}">
      <text>
        <r>
          <rPr>
            <sz val="8"/>
            <color indexed="81"/>
            <rFont val="Tahoma"/>
            <family val="2"/>
          </rPr>
          <t>When Yes is selected the Pelmet Colour must be entered.</t>
        </r>
      </text>
    </comment>
    <comment ref="E12" authorId="0" shapeId="0" xr:uid="{00000000-0006-0000-0500-00001D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2" authorId="0" shapeId="0" xr:uid="{00000000-0006-0000-0500-00001E000000}">
      <text>
        <r>
          <rPr>
            <sz val="8"/>
            <color indexed="81"/>
            <rFont val="Tahoma"/>
            <family val="2"/>
          </rPr>
          <t xml:space="preserve">Minimum Width is 500mm.
Maximum Width is 4800mm. </t>
        </r>
      </text>
    </comment>
    <comment ref="G12" authorId="0" shapeId="0" xr:uid="{00000000-0006-0000-0500-00001F000000}">
      <text>
        <r>
          <rPr>
            <sz val="8"/>
            <color indexed="81"/>
            <rFont val="Tahoma"/>
            <family val="2"/>
          </rPr>
          <t xml:space="preserve">Minimum Height/Drop is 200mm.
Maximum Height/Drop is 3600mm. </t>
        </r>
      </text>
    </comment>
    <comment ref="H12" authorId="0" shapeId="0" xr:uid="{00000000-0006-0000-0500-000020000000}">
      <text>
        <r>
          <rPr>
            <sz val="8"/>
            <color indexed="81"/>
            <rFont val="Tahoma"/>
            <family val="2"/>
          </rPr>
          <t>When selecting a
Corner or Bay Window Type, 
the CMB Corner WS or CMB Bay WS 
must be completed.</t>
        </r>
      </text>
    </comment>
    <comment ref="J12" authorId="0" shapeId="0" xr:uid="{00000000-0006-0000-0500-000021000000}">
      <text>
        <r>
          <rPr>
            <sz val="8"/>
            <color indexed="81"/>
            <rFont val="Tahoma"/>
            <family val="2"/>
          </rPr>
          <t>ACT 
Actual Measurements
You have made the allowances.
NAM
No Allowances Made 
The factory will make the deductions.</t>
        </r>
      </text>
    </comment>
    <comment ref="O12" authorId="0" shapeId="0" xr:uid="{00000000-0006-0000-0500-000022000000}">
      <text>
        <r>
          <rPr>
            <sz val="8"/>
            <color indexed="81"/>
            <rFont val="Tahoma"/>
            <family val="2"/>
          </rPr>
          <t>When Yes is selected the Pelmet Colour must be entered.</t>
        </r>
      </text>
    </comment>
    <comment ref="E13" authorId="0" shapeId="0" xr:uid="{00000000-0006-0000-0500-000023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3" authorId="0" shapeId="0" xr:uid="{00000000-0006-0000-0500-000024000000}">
      <text>
        <r>
          <rPr>
            <sz val="8"/>
            <color indexed="81"/>
            <rFont val="Tahoma"/>
            <family val="2"/>
          </rPr>
          <t xml:space="preserve">Minimum Width is 500mm.
Maximum Width is 4800mm. </t>
        </r>
      </text>
    </comment>
    <comment ref="G13" authorId="0" shapeId="0" xr:uid="{00000000-0006-0000-0500-000025000000}">
      <text>
        <r>
          <rPr>
            <sz val="8"/>
            <color indexed="81"/>
            <rFont val="Tahoma"/>
            <family val="2"/>
          </rPr>
          <t xml:space="preserve">Minimum Height/Drop is 200mm.
Maximum Height/Drop is 3600mm. </t>
        </r>
      </text>
    </comment>
    <comment ref="H13" authorId="0" shapeId="0" xr:uid="{00000000-0006-0000-0500-000026000000}">
      <text>
        <r>
          <rPr>
            <sz val="8"/>
            <color indexed="81"/>
            <rFont val="Tahoma"/>
            <family val="2"/>
          </rPr>
          <t>When selecting a
Corner or Bay Window Type, 
the CMB Corner WS or CMB Bay WS 
must be completed.</t>
        </r>
      </text>
    </comment>
    <comment ref="J13" authorId="0" shapeId="0" xr:uid="{00000000-0006-0000-0500-000027000000}">
      <text>
        <r>
          <rPr>
            <sz val="8"/>
            <color indexed="81"/>
            <rFont val="Tahoma"/>
            <family val="2"/>
          </rPr>
          <t>ACT 
Actual Measurements
You have made the allowances.
NAM
No Allowances Made 
The factory will make the deductions.</t>
        </r>
      </text>
    </comment>
    <comment ref="O13" authorId="0" shapeId="0" xr:uid="{00000000-0006-0000-0500-000028000000}">
      <text>
        <r>
          <rPr>
            <sz val="8"/>
            <color indexed="81"/>
            <rFont val="Tahoma"/>
            <family val="2"/>
          </rPr>
          <t>When Yes is selected the Pelmet Colour must be entered.</t>
        </r>
      </text>
    </comment>
    <comment ref="E14" authorId="0" shapeId="0" xr:uid="{00000000-0006-0000-0500-000029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4" authorId="0" shapeId="0" xr:uid="{00000000-0006-0000-0500-00002A000000}">
      <text>
        <r>
          <rPr>
            <sz val="8"/>
            <color indexed="81"/>
            <rFont val="Tahoma"/>
            <family val="2"/>
          </rPr>
          <t xml:space="preserve">Minimum Width is 500mm.
Maximum Width is 4800mm. </t>
        </r>
      </text>
    </comment>
    <comment ref="G14" authorId="0" shapeId="0" xr:uid="{00000000-0006-0000-0500-00002B000000}">
      <text>
        <r>
          <rPr>
            <sz val="8"/>
            <color indexed="81"/>
            <rFont val="Tahoma"/>
            <family val="2"/>
          </rPr>
          <t xml:space="preserve">Minimum Height/Drop is 200mm.
Maximum Height/Drop is 3600mm. </t>
        </r>
      </text>
    </comment>
    <comment ref="H14" authorId="0" shapeId="0" xr:uid="{00000000-0006-0000-0500-00002C000000}">
      <text>
        <r>
          <rPr>
            <sz val="8"/>
            <color indexed="81"/>
            <rFont val="Tahoma"/>
            <family val="2"/>
          </rPr>
          <t>When selecting a
Corner or Bay Window Type, 
the CMB Corner WS or CMB Bay WS 
must be completed.</t>
        </r>
      </text>
    </comment>
    <comment ref="J14" authorId="0" shapeId="0" xr:uid="{00000000-0006-0000-0500-00002D000000}">
      <text>
        <r>
          <rPr>
            <sz val="8"/>
            <color indexed="81"/>
            <rFont val="Tahoma"/>
            <family val="2"/>
          </rPr>
          <t>ACT 
Actual Measurements
You have made the allowances.
NAM
No Allowances Made 
The factory will make the deductions.</t>
        </r>
      </text>
    </comment>
    <comment ref="O14" authorId="0" shapeId="0" xr:uid="{00000000-0006-0000-0500-00002E000000}">
      <text>
        <r>
          <rPr>
            <sz val="8"/>
            <color indexed="81"/>
            <rFont val="Tahoma"/>
            <family val="2"/>
          </rPr>
          <t>When Yes is selected the Pelmet Colour must be entered.</t>
        </r>
      </text>
    </comment>
    <comment ref="E15" authorId="0" shapeId="0" xr:uid="{00000000-0006-0000-0500-00002F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5" authorId="0" shapeId="0" xr:uid="{00000000-0006-0000-0500-000030000000}">
      <text>
        <r>
          <rPr>
            <sz val="8"/>
            <color indexed="81"/>
            <rFont val="Tahoma"/>
            <family val="2"/>
          </rPr>
          <t xml:space="preserve">Minimum Width is 500mm.
Maximum Width is 4800mm. </t>
        </r>
      </text>
    </comment>
    <comment ref="G15" authorId="0" shapeId="0" xr:uid="{00000000-0006-0000-0500-000031000000}">
      <text>
        <r>
          <rPr>
            <sz val="8"/>
            <color indexed="81"/>
            <rFont val="Tahoma"/>
            <family val="2"/>
          </rPr>
          <t xml:space="preserve">Minimum Height/Drop is 200mm.
Maximum Height/Drop is 3600mm. </t>
        </r>
      </text>
    </comment>
    <comment ref="H15" authorId="0" shapeId="0" xr:uid="{00000000-0006-0000-0500-000032000000}">
      <text>
        <r>
          <rPr>
            <sz val="8"/>
            <color indexed="81"/>
            <rFont val="Tahoma"/>
            <family val="2"/>
          </rPr>
          <t>When selecting a
Corner or Bay Window Type, 
the CMB Corner WS or CMB Bay WS 
must be completed.</t>
        </r>
      </text>
    </comment>
    <comment ref="J15" authorId="0" shapeId="0" xr:uid="{00000000-0006-0000-0500-000033000000}">
      <text>
        <r>
          <rPr>
            <sz val="8"/>
            <color indexed="81"/>
            <rFont val="Tahoma"/>
            <family val="2"/>
          </rPr>
          <t>ACT 
Actual Measurements
You have made the allowances.
NAM
No Allowances Made 
The factory will make the deductions.</t>
        </r>
      </text>
    </comment>
    <comment ref="O15" authorId="0" shapeId="0" xr:uid="{00000000-0006-0000-0500-000034000000}">
      <text>
        <r>
          <rPr>
            <sz val="8"/>
            <color indexed="81"/>
            <rFont val="Tahoma"/>
            <family val="2"/>
          </rPr>
          <t>When Yes is selected the Pelmet Colour must be entered.</t>
        </r>
      </text>
    </comment>
    <comment ref="E16" authorId="0" shapeId="0" xr:uid="{00000000-0006-0000-0500-000035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6" authorId="0" shapeId="0" xr:uid="{00000000-0006-0000-0500-000036000000}">
      <text>
        <r>
          <rPr>
            <sz val="8"/>
            <color indexed="81"/>
            <rFont val="Tahoma"/>
            <family val="2"/>
          </rPr>
          <t xml:space="preserve">Minimum Width is 500mm.
Maximum Width is 4800mm. </t>
        </r>
      </text>
    </comment>
    <comment ref="G16" authorId="0" shapeId="0" xr:uid="{00000000-0006-0000-0500-000037000000}">
      <text>
        <r>
          <rPr>
            <sz val="8"/>
            <color indexed="81"/>
            <rFont val="Tahoma"/>
            <family val="2"/>
          </rPr>
          <t xml:space="preserve">Minimum Height/Drop is 200mm.
Maximum Height/Drop is 3600mm. </t>
        </r>
      </text>
    </comment>
    <comment ref="H16" authorId="0" shapeId="0" xr:uid="{00000000-0006-0000-0500-000038000000}">
      <text>
        <r>
          <rPr>
            <sz val="8"/>
            <color indexed="81"/>
            <rFont val="Tahoma"/>
            <family val="2"/>
          </rPr>
          <t>When selecting a
Corner or Bay Window Type, 
the CMB Corner WS or CMB Bay WS 
must be completed.</t>
        </r>
      </text>
    </comment>
    <comment ref="J16" authorId="0" shapeId="0" xr:uid="{00000000-0006-0000-0500-000039000000}">
      <text>
        <r>
          <rPr>
            <sz val="8"/>
            <color indexed="81"/>
            <rFont val="Tahoma"/>
            <family val="2"/>
          </rPr>
          <t>ACT 
Actual Measurements
You have made the allowances.
NAM
No Allowances Made 
The factory will make the deductions.</t>
        </r>
      </text>
    </comment>
    <comment ref="O16" authorId="0" shapeId="0" xr:uid="{00000000-0006-0000-0500-00003A000000}">
      <text>
        <r>
          <rPr>
            <sz val="8"/>
            <color indexed="81"/>
            <rFont val="Tahoma"/>
            <family val="2"/>
          </rPr>
          <t>When Yes is selected the Pelmet Colour must be entered.</t>
        </r>
      </text>
    </comment>
    <comment ref="E17" authorId="0" shapeId="0" xr:uid="{00000000-0006-0000-0500-00003B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7" authorId="0" shapeId="0" xr:uid="{00000000-0006-0000-0500-00003C000000}">
      <text>
        <r>
          <rPr>
            <sz val="8"/>
            <color indexed="81"/>
            <rFont val="Tahoma"/>
            <family val="2"/>
          </rPr>
          <t xml:space="preserve">Minimum Width is 500mm.
Maximum Width is 4800mm. </t>
        </r>
      </text>
    </comment>
    <comment ref="G17" authorId="0" shapeId="0" xr:uid="{00000000-0006-0000-0500-00003D000000}">
      <text>
        <r>
          <rPr>
            <sz val="8"/>
            <color indexed="81"/>
            <rFont val="Tahoma"/>
            <family val="2"/>
          </rPr>
          <t xml:space="preserve">Minimum Height/Drop is 200mm.
Maximum Height/Drop is 3600mm. </t>
        </r>
      </text>
    </comment>
    <comment ref="H17" authorId="0" shapeId="0" xr:uid="{00000000-0006-0000-0500-00003E000000}">
      <text>
        <r>
          <rPr>
            <sz val="8"/>
            <color indexed="81"/>
            <rFont val="Tahoma"/>
            <family val="2"/>
          </rPr>
          <t>When selecting a
Corner or Bay Window Type, 
the CMB Corner WS or CMB Bay WS 
must be completed.</t>
        </r>
      </text>
    </comment>
    <comment ref="J17" authorId="0" shapeId="0" xr:uid="{00000000-0006-0000-0500-00003F000000}">
      <text>
        <r>
          <rPr>
            <sz val="8"/>
            <color indexed="81"/>
            <rFont val="Tahoma"/>
            <family val="2"/>
          </rPr>
          <t>ACT 
Actual Measurements
You have made the allowances.
NAM
No Allowances Made 
The factory will make the deductions.</t>
        </r>
      </text>
    </comment>
    <comment ref="O17" authorId="0" shapeId="0" xr:uid="{00000000-0006-0000-0500-000040000000}">
      <text>
        <r>
          <rPr>
            <sz val="8"/>
            <color indexed="81"/>
            <rFont val="Tahoma"/>
            <family val="2"/>
          </rPr>
          <t>When Yes is selected the Pelmet Colour must be entered.</t>
        </r>
      </text>
    </comment>
    <comment ref="E18" authorId="0" shapeId="0" xr:uid="{00000000-0006-0000-0500-000041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8" authorId="0" shapeId="0" xr:uid="{00000000-0006-0000-0500-000042000000}">
      <text>
        <r>
          <rPr>
            <sz val="8"/>
            <color indexed="81"/>
            <rFont val="Tahoma"/>
            <family val="2"/>
          </rPr>
          <t xml:space="preserve">Minimum Width is 500mm.
Maximum Width is 4800mm. </t>
        </r>
      </text>
    </comment>
    <comment ref="G18" authorId="0" shapeId="0" xr:uid="{00000000-0006-0000-0500-000043000000}">
      <text>
        <r>
          <rPr>
            <sz val="8"/>
            <color indexed="81"/>
            <rFont val="Tahoma"/>
            <family val="2"/>
          </rPr>
          <t xml:space="preserve">Minimum Height/Drop is 200mm.
Maximum Height/Drop is 3600mm. </t>
        </r>
      </text>
    </comment>
    <comment ref="H18" authorId="0" shapeId="0" xr:uid="{00000000-0006-0000-0500-000044000000}">
      <text>
        <r>
          <rPr>
            <sz val="8"/>
            <color indexed="81"/>
            <rFont val="Tahoma"/>
            <family val="2"/>
          </rPr>
          <t>When selecting a
Corner or Bay Window Type, 
the CMB Corner WS or CMB Bay WS 
must be completed.</t>
        </r>
      </text>
    </comment>
    <comment ref="J18" authorId="0" shapeId="0" xr:uid="{00000000-0006-0000-0500-000045000000}">
      <text>
        <r>
          <rPr>
            <sz val="8"/>
            <color indexed="81"/>
            <rFont val="Tahoma"/>
            <family val="2"/>
          </rPr>
          <t>ACT 
Actual Measurements
You have made the allowances.
NAM
No Allowances Made 
The factory will make the deductions.</t>
        </r>
      </text>
    </comment>
    <comment ref="O18" authorId="0" shapeId="0" xr:uid="{00000000-0006-0000-0500-000046000000}">
      <text>
        <r>
          <rPr>
            <sz val="8"/>
            <color indexed="81"/>
            <rFont val="Tahoma"/>
            <family val="2"/>
          </rPr>
          <t>When Yes is selected the Pelmet Colour must be entered.</t>
        </r>
      </text>
    </comment>
    <comment ref="E19" authorId="0" shapeId="0" xr:uid="{00000000-0006-0000-0500-000047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9" authorId="0" shapeId="0" xr:uid="{00000000-0006-0000-0500-000048000000}">
      <text>
        <r>
          <rPr>
            <sz val="8"/>
            <color indexed="81"/>
            <rFont val="Tahoma"/>
            <family val="2"/>
          </rPr>
          <t xml:space="preserve">Minimum Width is 500mm.
Maximum Width is 4800mm. </t>
        </r>
      </text>
    </comment>
    <comment ref="G19" authorId="0" shapeId="0" xr:uid="{00000000-0006-0000-0500-000049000000}">
      <text>
        <r>
          <rPr>
            <sz val="8"/>
            <color indexed="81"/>
            <rFont val="Tahoma"/>
            <family val="2"/>
          </rPr>
          <t xml:space="preserve">Minimum Height/Drop is 200mm.
Maximum Height/Drop is 3600mm. </t>
        </r>
      </text>
    </comment>
    <comment ref="H19" authorId="0" shapeId="0" xr:uid="{00000000-0006-0000-0500-00004A000000}">
      <text>
        <r>
          <rPr>
            <sz val="8"/>
            <color indexed="81"/>
            <rFont val="Tahoma"/>
            <family val="2"/>
          </rPr>
          <t>When selecting a
Corner or Bay Window Type, 
the CMB Corner WS or CMB Bay WS 
must be completed.</t>
        </r>
      </text>
    </comment>
    <comment ref="J19" authorId="0" shapeId="0" xr:uid="{00000000-0006-0000-0500-00004B000000}">
      <text>
        <r>
          <rPr>
            <sz val="8"/>
            <color indexed="81"/>
            <rFont val="Tahoma"/>
            <family val="2"/>
          </rPr>
          <t>ACT 
Actual Measurements
You have made the allowances.
NAM
No Allowances Made 
The factory will make the deductions.</t>
        </r>
      </text>
    </comment>
    <comment ref="O19" authorId="0" shapeId="0" xr:uid="{00000000-0006-0000-0500-00004C000000}">
      <text>
        <r>
          <rPr>
            <sz val="8"/>
            <color indexed="81"/>
            <rFont val="Tahoma"/>
            <family val="2"/>
          </rPr>
          <t>When Yes is selected the Pelmet Colour must be entered.</t>
        </r>
      </text>
    </comment>
    <comment ref="E20" authorId="0" shapeId="0" xr:uid="{00000000-0006-0000-0500-00004D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20" authorId="0" shapeId="0" xr:uid="{00000000-0006-0000-0500-00004E000000}">
      <text>
        <r>
          <rPr>
            <sz val="8"/>
            <color indexed="81"/>
            <rFont val="Tahoma"/>
            <family val="2"/>
          </rPr>
          <t xml:space="preserve">Minimum Width is 500mm.
Maximum Width is 4800mm. </t>
        </r>
      </text>
    </comment>
    <comment ref="G20" authorId="0" shapeId="0" xr:uid="{00000000-0006-0000-0500-00004F000000}">
      <text>
        <r>
          <rPr>
            <sz val="8"/>
            <color indexed="81"/>
            <rFont val="Tahoma"/>
            <family val="2"/>
          </rPr>
          <t xml:space="preserve">Minimum Height/Drop is 200mm.
Maximum Height/Drop is 3600mm. </t>
        </r>
      </text>
    </comment>
    <comment ref="H20" authorId="0" shapeId="0" xr:uid="{00000000-0006-0000-0500-000050000000}">
      <text>
        <r>
          <rPr>
            <sz val="8"/>
            <color indexed="81"/>
            <rFont val="Tahoma"/>
            <family val="2"/>
          </rPr>
          <t>When selecting a
Corner or Bay Window Type, 
the CMB Corner WS or CMB Bay WS 
must be completed.</t>
        </r>
      </text>
    </comment>
    <comment ref="J20" authorId="0" shapeId="0" xr:uid="{00000000-0006-0000-0500-000051000000}">
      <text>
        <r>
          <rPr>
            <sz val="8"/>
            <color indexed="81"/>
            <rFont val="Tahoma"/>
            <family val="2"/>
          </rPr>
          <t>ACT 
Actual Measurements
You have made the allowances.
NAM
No Allowances Made 
The factory will make the deductions.</t>
        </r>
      </text>
    </comment>
    <comment ref="O20" authorId="0" shapeId="0" xr:uid="{00000000-0006-0000-0500-000052000000}">
      <text>
        <r>
          <rPr>
            <sz val="8"/>
            <color indexed="81"/>
            <rFont val="Tahoma"/>
            <family val="2"/>
          </rPr>
          <t>When Yes is selected the Pelmet Colour must be entered.</t>
        </r>
      </text>
    </comment>
    <comment ref="E21" authorId="0" shapeId="0" xr:uid="{00000000-0006-0000-0500-000053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21" authorId="0" shapeId="0" xr:uid="{00000000-0006-0000-0500-000054000000}">
      <text>
        <r>
          <rPr>
            <sz val="8"/>
            <color indexed="81"/>
            <rFont val="Tahoma"/>
            <family val="2"/>
          </rPr>
          <t xml:space="preserve">Minimum Width is 500mm.
Maximum Width is 4800mm. </t>
        </r>
      </text>
    </comment>
    <comment ref="G21" authorId="0" shapeId="0" xr:uid="{00000000-0006-0000-0500-000055000000}">
      <text>
        <r>
          <rPr>
            <sz val="8"/>
            <color indexed="81"/>
            <rFont val="Tahoma"/>
            <family val="2"/>
          </rPr>
          <t xml:space="preserve">Minimum Height/Drop is 200mm.
Maximum Height/Drop is 3600mm. </t>
        </r>
      </text>
    </comment>
    <comment ref="H21" authorId="0" shapeId="0" xr:uid="{00000000-0006-0000-0500-000056000000}">
      <text>
        <r>
          <rPr>
            <sz val="8"/>
            <color indexed="81"/>
            <rFont val="Tahoma"/>
            <family val="2"/>
          </rPr>
          <t>When selecting a
Corner or Bay Window Type, 
the CMB Corner WS or CMB Bay WS 
must be completed.</t>
        </r>
      </text>
    </comment>
    <comment ref="J21" authorId="0" shapeId="0" xr:uid="{00000000-0006-0000-0500-000057000000}">
      <text>
        <r>
          <rPr>
            <sz val="8"/>
            <color indexed="81"/>
            <rFont val="Tahoma"/>
            <family val="2"/>
          </rPr>
          <t>ACT 
Actual Measurements
You have made the allowances.
NAM
No Allowances Made 
The factory will make the deductions.</t>
        </r>
      </text>
    </comment>
    <comment ref="O21" authorId="0" shapeId="0" xr:uid="{00000000-0006-0000-0500-000058000000}">
      <text>
        <r>
          <rPr>
            <sz val="8"/>
            <color indexed="81"/>
            <rFont val="Tahoma"/>
            <family val="2"/>
          </rPr>
          <t>When Yes is selected the Pelmet Colour must be entered.</t>
        </r>
      </text>
    </comment>
    <comment ref="E22" authorId="0" shapeId="0" xr:uid="{00000000-0006-0000-0500-000059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22" authorId="0" shapeId="0" xr:uid="{00000000-0006-0000-0500-00005A000000}">
      <text>
        <r>
          <rPr>
            <sz val="8"/>
            <color indexed="81"/>
            <rFont val="Tahoma"/>
            <family val="2"/>
          </rPr>
          <t xml:space="preserve">Minimum Width is 500mm.
Maximum Width is 4800mm. </t>
        </r>
      </text>
    </comment>
    <comment ref="G22" authorId="0" shapeId="0" xr:uid="{00000000-0006-0000-0500-00005B000000}">
      <text>
        <r>
          <rPr>
            <sz val="8"/>
            <color indexed="81"/>
            <rFont val="Tahoma"/>
            <family val="2"/>
          </rPr>
          <t xml:space="preserve">Minimum Height/Drop is 200mm.
Maximum Height/Drop is 3600mm. </t>
        </r>
      </text>
    </comment>
    <comment ref="H22" authorId="0" shapeId="0" xr:uid="{00000000-0006-0000-0500-00005C000000}">
      <text>
        <r>
          <rPr>
            <sz val="8"/>
            <color indexed="81"/>
            <rFont val="Tahoma"/>
            <family val="2"/>
          </rPr>
          <t>When selecting a
Corner or Bay Window Type, 
the CMB Corner WS or CMB Bay WS 
must be completed.</t>
        </r>
      </text>
    </comment>
    <comment ref="J22" authorId="0" shapeId="0" xr:uid="{00000000-0006-0000-0500-00005D000000}">
      <text>
        <r>
          <rPr>
            <sz val="8"/>
            <color indexed="81"/>
            <rFont val="Tahoma"/>
            <family val="2"/>
          </rPr>
          <t>ACT 
Actual Measurements
You have made the allowances.
NAM
No Allowances Made 
The factory will make the deductions.</t>
        </r>
      </text>
    </comment>
    <comment ref="O22" authorId="0" shapeId="0" xr:uid="{00000000-0006-0000-0500-00005E000000}">
      <text>
        <r>
          <rPr>
            <sz val="8"/>
            <color indexed="81"/>
            <rFont val="Tahoma"/>
            <family val="2"/>
          </rPr>
          <t>When Yes is selected the Pelmet Colour must be entered.</t>
        </r>
      </text>
    </comment>
    <comment ref="E23" authorId="0" shapeId="0" xr:uid="{00000000-0006-0000-0500-00005F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23" authorId="0" shapeId="0" xr:uid="{00000000-0006-0000-0500-000060000000}">
      <text>
        <r>
          <rPr>
            <sz val="8"/>
            <color indexed="81"/>
            <rFont val="Tahoma"/>
            <family val="2"/>
          </rPr>
          <t xml:space="preserve">Minimum Width is 500mm.
Maximum Width is 4800mm. </t>
        </r>
      </text>
    </comment>
    <comment ref="G23" authorId="0" shapeId="0" xr:uid="{00000000-0006-0000-0500-000061000000}">
      <text>
        <r>
          <rPr>
            <sz val="8"/>
            <color indexed="81"/>
            <rFont val="Tahoma"/>
            <family val="2"/>
          </rPr>
          <t xml:space="preserve">Minimum Height/Drop is 200mm.
Maximum Height/Drop is 3600mm. </t>
        </r>
      </text>
    </comment>
    <comment ref="H23" authorId="0" shapeId="0" xr:uid="{00000000-0006-0000-0500-000062000000}">
      <text>
        <r>
          <rPr>
            <sz val="8"/>
            <color indexed="81"/>
            <rFont val="Tahoma"/>
            <family val="2"/>
          </rPr>
          <t>When selecting a
Corner or Bay Window Type, 
the CMB Corner WS or CMB Bay WS 
must be completed.</t>
        </r>
      </text>
    </comment>
    <comment ref="J23" authorId="0" shapeId="0" xr:uid="{00000000-0006-0000-0500-000063000000}">
      <text>
        <r>
          <rPr>
            <sz val="8"/>
            <color indexed="81"/>
            <rFont val="Tahoma"/>
            <family val="2"/>
          </rPr>
          <t>ACT 
Actual Measurements
You have made the allowances.
NAM
No Allowances Made 
The factory will make the deductions.</t>
        </r>
      </text>
    </comment>
    <comment ref="O23" authorId="0" shapeId="0" xr:uid="{00000000-0006-0000-0500-000064000000}">
      <text>
        <r>
          <rPr>
            <sz val="8"/>
            <color indexed="81"/>
            <rFont val="Tahoma"/>
            <family val="2"/>
          </rPr>
          <t>When Yes is selected the Pelmet Colour must be entered.</t>
        </r>
      </text>
    </comment>
    <comment ref="E24" authorId="0" shapeId="0" xr:uid="{00000000-0006-0000-0500-000065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24" authorId="0" shapeId="0" xr:uid="{00000000-0006-0000-0500-000066000000}">
      <text>
        <r>
          <rPr>
            <sz val="8"/>
            <color indexed="81"/>
            <rFont val="Tahoma"/>
            <family val="2"/>
          </rPr>
          <t xml:space="preserve">Minimum Width is 500mm.
Maximum Width is 4800mm. </t>
        </r>
      </text>
    </comment>
    <comment ref="G24" authorId="0" shapeId="0" xr:uid="{00000000-0006-0000-0500-000067000000}">
      <text>
        <r>
          <rPr>
            <sz val="8"/>
            <color indexed="81"/>
            <rFont val="Tahoma"/>
            <family val="2"/>
          </rPr>
          <t xml:space="preserve">Minimum Height/Drop is 200mm.
Maximum Height/Drop is 3600mm. </t>
        </r>
      </text>
    </comment>
    <comment ref="H24" authorId="0" shapeId="0" xr:uid="{00000000-0006-0000-0500-000068000000}">
      <text>
        <r>
          <rPr>
            <sz val="8"/>
            <color indexed="81"/>
            <rFont val="Tahoma"/>
            <family val="2"/>
          </rPr>
          <t>When selecting a
Corner or Bay Window Type, 
the CMB Corner WS or CMB Bay WS 
must be completed.</t>
        </r>
      </text>
    </comment>
    <comment ref="J24" authorId="0" shapeId="0" xr:uid="{00000000-0006-0000-0500-000069000000}">
      <text>
        <r>
          <rPr>
            <sz val="8"/>
            <color indexed="81"/>
            <rFont val="Tahoma"/>
            <family val="2"/>
          </rPr>
          <t>ACT 
Actual Measurements
You have made the allowances.
NAM
No Allowances Made 
The factory will make the deductions.</t>
        </r>
      </text>
    </comment>
    <comment ref="O24" authorId="0" shapeId="0" xr:uid="{00000000-0006-0000-0500-00006A000000}">
      <text>
        <r>
          <rPr>
            <sz val="8"/>
            <color indexed="81"/>
            <rFont val="Tahoma"/>
            <family val="2"/>
          </rPr>
          <t>When Yes is selected the Pelmet Colour must be entered.</t>
        </r>
      </text>
    </comment>
    <comment ref="E25" authorId="0" shapeId="0" xr:uid="{00000000-0006-0000-0500-00006B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25" authorId="0" shapeId="0" xr:uid="{00000000-0006-0000-0500-00006C000000}">
      <text>
        <r>
          <rPr>
            <sz val="8"/>
            <color indexed="81"/>
            <rFont val="Tahoma"/>
            <family val="2"/>
          </rPr>
          <t xml:space="preserve">Minimum Width is 500mm.
Maximum Width is 4800mm. </t>
        </r>
      </text>
    </comment>
    <comment ref="G25" authorId="0" shapeId="0" xr:uid="{00000000-0006-0000-0500-00006D000000}">
      <text>
        <r>
          <rPr>
            <sz val="8"/>
            <color indexed="81"/>
            <rFont val="Tahoma"/>
            <family val="2"/>
          </rPr>
          <t xml:space="preserve">Minimum Height/Drop is 200mm.
Maximum Height/Drop is 3600mm. </t>
        </r>
      </text>
    </comment>
    <comment ref="H25" authorId="0" shapeId="0" xr:uid="{00000000-0006-0000-0500-00006E000000}">
      <text>
        <r>
          <rPr>
            <sz val="8"/>
            <color indexed="81"/>
            <rFont val="Tahoma"/>
            <family val="2"/>
          </rPr>
          <t>When selecting a
Corner or Bay Window Type, 
the CMB Corner WS or CMB Bay WS 
must be completed.</t>
        </r>
      </text>
    </comment>
    <comment ref="J25" authorId="0" shapeId="0" xr:uid="{00000000-0006-0000-0500-00006F000000}">
      <text>
        <r>
          <rPr>
            <sz val="8"/>
            <color indexed="81"/>
            <rFont val="Tahoma"/>
            <family val="2"/>
          </rPr>
          <t>ACT 
Actual Measurements
You have made the allowances.
NAM
No Allowances Made 
The factory will make the deductions.</t>
        </r>
      </text>
    </comment>
    <comment ref="O25" authorId="0" shapeId="0" xr:uid="{00000000-0006-0000-0500-000070000000}">
      <text>
        <r>
          <rPr>
            <sz val="8"/>
            <color indexed="81"/>
            <rFont val="Tahoma"/>
            <family val="2"/>
          </rPr>
          <t>When Yes is selected the Pelmet Colour must be entered.</t>
        </r>
      </text>
    </comment>
    <comment ref="E26" authorId="0" shapeId="0" xr:uid="{00000000-0006-0000-0500-000071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26" authorId="0" shapeId="0" xr:uid="{00000000-0006-0000-0500-000072000000}">
      <text>
        <r>
          <rPr>
            <sz val="8"/>
            <color indexed="81"/>
            <rFont val="Tahoma"/>
            <family val="2"/>
          </rPr>
          <t xml:space="preserve">Minimum Width is 500mm.
Maximum Width is 4800mm. </t>
        </r>
      </text>
    </comment>
    <comment ref="G26" authorId="0" shapeId="0" xr:uid="{00000000-0006-0000-0500-000073000000}">
      <text>
        <r>
          <rPr>
            <sz val="8"/>
            <color indexed="81"/>
            <rFont val="Tahoma"/>
            <family val="2"/>
          </rPr>
          <t xml:space="preserve">Minimum Height/Drop is 200mm.
Maximum Height/Drop is 3600mm. </t>
        </r>
      </text>
    </comment>
    <comment ref="H26" authorId="0" shapeId="0" xr:uid="{00000000-0006-0000-0500-000074000000}">
      <text>
        <r>
          <rPr>
            <sz val="8"/>
            <color indexed="81"/>
            <rFont val="Tahoma"/>
            <family val="2"/>
          </rPr>
          <t>When selecting a
Corner or Bay Window Type, 
the CMB Corner WS or CMB Bay WS 
must be completed.</t>
        </r>
      </text>
    </comment>
    <comment ref="J26" authorId="0" shapeId="0" xr:uid="{00000000-0006-0000-0500-000075000000}">
      <text>
        <r>
          <rPr>
            <sz val="8"/>
            <color indexed="81"/>
            <rFont val="Tahoma"/>
            <family val="2"/>
          </rPr>
          <t>ACT 
Actual Measurements
You have made the allowances.
NAM
No Allowances Made 
The factory will make the deductions.</t>
        </r>
      </text>
    </comment>
    <comment ref="O26" authorId="0" shapeId="0" xr:uid="{00000000-0006-0000-0500-000076000000}">
      <text>
        <r>
          <rPr>
            <sz val="8"/>
            <color indexed="81"/>
            <rFont val="Tahoma"/>
            <family val="2"/>
          </rPr>
          <t>When Yes is selected the Pelmet Colour must be entered.</t>
        </r>
      </text>
    </comment>
    <comment ref="E27" authorId="0" shapeId="0" xr:uid="{00000000-0006-0000-0500-000077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27" authorId="0" shapeId="0" xr:uid="{00000000-0006-0000-0500-000078000000}">
      <text>
        <r>
          <rPr>
            <sz val="8"/>
            <color indexed="81"/>
            <rFont val="Tahoma"/>
            <family val="2"/>
          </rPr>
          <t xml:space="preserve">Minimum Width is 500mm.
Maximum Width is 4800mm. </t>
        </r>
      </text>
    </comment>
    <comment ref="G27" authorId="0" shapeId="0" xr:uid="{00000000-0006-0000-0500-000079000000}">
      <text>
        <r>
          <rPr>
            <sz val="8"/>
            <color indexed="81"/>
            <rFont val="Tahoma"/>
            <family val="2"/>
          </rPr>
          <t xml:space="preserve">Minimum Height/Drop is 200mm.
Maximum Height/Drop is 3600mm. </t>
        </r>
      </text>
    </comment>
    <comment ref="H27" authorId="0" shapeId="0" xr:uid="{00000000-0006-0000-0500-00007A000000}">
      <text>
        <r>
          <rPr>
            <sz val="8"/>
            <color indexed="81"/>
            <rFont val="Tahoma"/>
            <family val="2"/>
          </rPr>
          <t>When selecting a
Corner or Bay Window Type, 
the CMB Corner WS or CMB Bay WS 
must be completed.</t>
        </r>
      </text>
    </comment>
    <comment ref="J27" authorId="0" shapeId="0" xr:uid="{00000000-0006-0000-0500-00007B000000}">
      <text>
        <r>
          <rPr>
            <sz val="8"/>
            <color indexed="81"/>
            <rFont val="Tahoma"/>
            <family val="2"/>
          </rPr>
          <t>ACT 
Actual Measurements
You have made the allowances.
NAM
No Allowances Made 
The factory will make the deductions.</t>
        </r>
      </text>
    </comment>
    <comment ref="O27" authorId="0" shapeId="0" xr:uid="{00000000-0006-0000-0500-00007C000000}">
      <text>
        <r>
          <rPr>
            <sz val="8"/>
            <color indexed="81"/>
            <rFont val="Tahoma"/>
            <family val="2"/>
          </rPr>
          <t>When Yes is selected the Pelmet Colour must be entered.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D7" authorId="0" shapeId="0" xr:uid="{00000000-0006-0000-0600-00000100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7" authorId="0" shapeId="0" xr:uid="{00000000-0006-0000-0600-000002000000}">
      <text>
        <r>
          <rPr>
            <sz val="8"/>
            <color indexed="81"/>
            <rFont val="Tahoma"/>
            <family val="2"/>
          </rPr>
          <t>Product options are;
25mm Single Cellular Blind
38mm Single Cellular Blind
38mm Double Cellular Blind</t>
        </r>
      </text>
    </comment>
    <comment ref="F7" authorId="0" shapeId="0" xr:uid="{00000000-0006-0000-0600-000003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7" authorId="0" shapeId="0" xr:uid="{00000000-0006-0000-0600-000004000000}">
      <text>
        <r>
          <rPr>
            <sz val="8"/>
            <color indexed="81"/>
            <rFont val="Tahoma"/>
            <family val="2"/>
          </rPr>
          <t>The Colour is dependent on the 
Fabric option selected. 
For a Day Night Blind, 
this Colour is for the 
Top Blind which can be either 
Blockout or Translucent.</t>
        </r>
      </text>
    </comment>
    <comment ref="H7" authorId="0" shapeId="0" xr:uid="{00000000-0006-0000-0600-000005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7" authorId="0" shapeId="0" xr:uid="{00000000-0006-0000-0600-00000600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7" authorId="0" shapeId="0" xr:uid="{00000000-0006-0000-0600-00000700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7" authorId="0" shapeId="0" xr:uid="{00000000-0006-0000-0600-000008000000}">
      <text>
        <r>
          <rPr>
            <sz val="8"/>
            <color indexed="81"/>
            <rFont val="Tahoma"/>
            <family val="2"/>
          </rPr>
          <t>When selecting a
Corner or Bay Window Type, 
the CMB Corner WS 
or CMB Bay WS 
must be completed.</t>
        </r>
      </text>
    </comment>
    <comment ref="M7" authorId="0" shapeId="0" xr:uid="{00000000-0006-0000-0600-000009000000}">
      <text>
        <r>
          <rPr>
            <sz val="8"/>
            <color indexed="81"/>
            <rFont val="Tahoma"/>
            <family val="2"/>
          </rPr>
          <t>ACT 
Actual Measurements
You have made the allowances.
NAM
No Allowances Made 
The factory will make the deductions.</t>
        </r>
      </text>
    </comment>
    <comment ref="O7" authorId="0" shapeId="0" xr:uid="{00000000-0006-0000-0600-00000A00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7" authorId="0" shapeId="0" xr:uid="{00000000-0006-0000-0600-00000B000000}">
      <text>
        <r>
          <rPr>
            <sz val="8"/>
            <color indexed="81"/>
            <rFont val="Tahoma"/>
            <family val="2"/>
          </rPr>
          <t>Motor Control options are;
Battery Operated Motor - Left Side Wand
Battery Operated Motor - Right Side Wand
Hardwired Motor - Left Side Wand
Hardwired Motor - Right Side Wand</t>
        </r>
      </text>
    </comment>
    <comment ref="Q7" authorId="0" shapeId="0" xr:uid="{00000000-0006-0000-0600-00000C000000}">
      <text>
        <r>
          <rPr>
            <sz val="8"/>
            <color indexed="81"/>
            <rFont val="Tahoma"/>
            <family val="2"/>
          </rPr>
          <t>If the Blind m2 is 
oversized, then 
"Check Size" 
will be listed.</t>
        </r>
      </text>
    </comment>
    <comment ref="R7" authorId="0" shapeId="0" xr:uid="{00000000-0006-0000-0600-00000D00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S7" authorId="0" shapeId="0" xr:uid="{00000000-0006-0000-0600-00000E000000}">
      <text>
        <r>
          <rPr>
            <sz val="8"/>
            <color indexed="81"/>
            <rFont val="Tahoma"/>
            <family val="2"/>
          </rPr>
          <t>Please use this section 
to specify 
any Special Requirements
for the Line/Order.</t>
        </r>
      </text>
    </comment>
    <comment ref="D8" authorId="0" shapeId="0" xr:uid="{00000000-0006-0000-0600-00000F00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8" authorId="0" shapeId="0" xr:uid="{00000000-0006-0000-0600-000010000000}">
      <text>
        <r>
          <rPr>
            <sz val="8"/>
            <color indexed="81"/>
            <rFont val="Tahoma"/>
            <family val="2"/>
          </rPr>
          <t>Product options are;
25mm Single Cellular Blind
38mm Single Cellular Blind
38mm Double Cellular Blind</t>
        </r>
      </text>
    </comment>
    <comment ref="F8" authorId="0" shapeId="0" xr:uid="{00000000-0006-0000-0600-000011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8" authorId="0" shapeId="0" xr:uid="{00000000-0006-0000-0600-000012000000}">
      <text>
        <r>
          <rPr>
            <sz val="8"/>
            <color indexed="81"/>
            <rFont val="Tahoma"/>
            <family val="2"/>
          </rPr>
          <t>The Colour is dependent on the 
Fabric option selected. 
For a Day Night Blind, 
this Colour is for the 
Top Blind which can be either 
Blockout or Translucent.</t>
        </r>
      </text>
    </comment>
    <comment ref="H8" authorId="0" shapeId="0" xr:uid="{00000000-0006-0000-0600-000013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8" authorId="0" shapeId="0" xr:uid="{00000000-0006-0000-0600-00001400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8" authorId="0" shapeId="0" xr:uid="{00000000-0006-0000-0600-00001500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8" authorId="0" shapeId="0" xr:uid="{00000000-0006-0000-0600-000016000000}">
      <text>
        <r>
          <rPr>
            <sz val="8"/>
            <color indexed="81"/>
            <rFont val="Tahoma"/>
            <family val="2"/>
          </rPr>
          <t>When selecting a
Corner or Bay Window Type, 
the CMB Corner WS 
or CMB Bay WS 
must be completed.</t>
        </r>
      </text>
    </comment>
    <comment ref="M8" authorId="0" shapeId="0" xr:uid="{00000000-0006-0000-0600-000017000000}">
      <text>
        <r>
          <rPr>
            <sz val="8"/>
            <color indexed="81"/>
            <rFont val="Tahoma"/>
            <family val="2"/>
          </rPr>
          <t>ACT 
Actual Measurements
You have made the allowances.
NAM
No Allowances Made 
The factory will make the deductions.</t>
        </r>
      </text>
    </comment>
    <comment ref="O8" authorId="0" shapeId="0" xr:uid="{00000000-0006-0000-0600-00001800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8" authorId="0" shapeId="0" xr:uid="{00000000-0006-0000-0600-000019000000}">
      <text>
        <r>
          <rPr>
            <sz val="8"/>
            <color indexed="81"/>
            <rFont val="Tahoma"/>
            <family val="2"/>
          </rPr>
          <t>Motor Control options are;
Battery Operated Motor - Left Side Wand
Battery Operated Motor - Right Side Wand
Hardwired Motor - Left Side Wand
Hardwired Motor - Right Side Wand</t>
        </r>
      </text>
    </comment>
    <comment ref="Q8" authorId="0" shapeId="0" xr:uid="{00000000-0006-0000-0600-00001A000000}">
      <text>
        <r>
          <rPr>
            <sz val="8"/>
            <color indexed="81"/>
            <rFont val="Tahoma"/>
            <family val="2"/>
          </rPr>
          <t>If the Blind m2 is 
oversized, then 
"Check Size" 
will be listed.</t>
        </r>
      </text>
    </comment>
    <comment ref="R8" authorId="0" shapeId="0" xr:uid="{00000000-0006-0000-0600-00001B00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9" authorId="0" shapeId="0" xr:uid="{00000000-0006-0000-0600-00001C00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9" authorId="0" shapeId="0" xr:uid="{00000000-0006-0000-0600-00001D000000}">
      <text>
        <r>
          <rPr>
            <sz val="8"/>
            <color indexed="81"/>
            <rFont val="Tahoma"/>
            <family val="2"/>
          </rPr>
          <t>Product options are;
25mm Single Cellular Blind
38mm Single Cellular Blind
38mm Double Cellular Blind</t>
        </r>
      </text>
    </comment>
    <comment ref="F9" authorId="0" shapeId="0" xr:uid="{00000000-0006-0000-0600-00001E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9" authorId="0" shapeId="0" xr:uid="{00000000-0006-0000-0600-00001F000000}">
      <text>
        <r>
          <rPr>
            <sz val="8"/>
            <color indexed="81"/>
            <rFont val="Tahoma"/>
            <family val="2"/>
          </rPr>
          <t>The Colour is dependent on the 
Fabric option selected. 
For a Day Night Blind, 
this Colour is for the 
Top Blind which can be either 
Blockout or Translucent.</t>
        </r>
      </text>
    </comment>
    <comment ref="H9" authorId="0" shapeId="0" xr:uid="{00000000-0006-0000-0600-000020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9" authorId="0" shapeId="0" xr:uid="{00000000-0006-0000-0600-00002100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9" authorId="0" shapeId="0" xr:uid="{00000000-0006-0000-0600-00002200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9" authorId="0" shapeId="0" xr:uid="{00000000-0006-0000-0600-000023000000}">
      <text>
        <r>
          <rPr>
            <sz val="8"/>
            <color indexed="81"/>
            <rFont val="Tahoma"/>
            <family val="2"/>
          </rPr>
          <t>When selecting a
Corner or Bay Window Type, 
the CMB Corner WS 
or CMB Bay WS 
must be completed.</t>
        </r>
      </text>
    </comment>
    <comment ref="M9" authorId="0" shapeId="0" xr:uid="{00000000-0006-0000-0600-000024000000}">
      <text>
        <r>
          <rPr>
            <sz val="8"/>
            <color indexed="81"/>
            <rFont val="Tahoma"/>
            <family val="2"/>
          </rPr>
          <t>ACT 
Actual Measurements
You have made the allowances.
NAM
No Allowances Made 
The factory will make the deductions.</t>
        </r>
      </text>
    </comment>
    <comment ref="O9" authorId="0" shapeId="0" xr:uid="{00000000-0006-0000-0600-00002500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9" authorId="0" shapeId="0" xr:uid="{00000000-0006-0000-0600-000026000000}">
      <text>
        <r>
          <rPr>
            <sz val="8"/>
            <color indexed="81"/>
            <rFont val="Tahoma"/>
            <family val="2"/>
          </rPr>
          <t>Motor Control options are;
Battery Operated Motor - Left Side Wand
Battery Operated Motor - Right Side Wand
Hardwired Motor - Left Side Wand
Hardwired Motor - Right Side Wand</t>
        </r>
      </text>
    </comment>
    <comment ref="Q9" authorId="0" shapeId="0" xr:uid="{00000000-0006-0000-0600-000027000000}">
      <text>
        <r>
          <rPr>
            <sz val="8"/>
            <color indexed="81"/>
            <rFont val="Tahoma"/>
            <family val="2"/>
          </rPr>
          <t>If the Blind m2 is 
oversized, then 
"Check Size" 
will be listed.</t>
        </r>
      </text>
    </comment>
    <comment ref="R9" authorId="0" shapeId="0" xr:uid="{00000000-0006-0000-0600-00002800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10" authorId="0" shapeId="0" xr:uid="{00000000-0006-0000-0600-00002900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10" authorId="0" shapeId="0" xr:uid="{00000000-0006-0000-0600-00002A000000}">
      <text>
        <r>
          <rPr>
            <sz val="8"/>
            <color indexed="81"/>
            <rFont val="Tahoma"/>
            <family val="2"/>
          </rPr>
          <t>Product options are;
25mm Single Cellular Blind
38mm Single Cellular Blind
38mm Double Cellular Blind</t>
        </r>
      </text>
    </comment>
    <comment ref="F10" authorId="0" shapeId="0" xr:uid="{00000000-0006-0000-0600-00002B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10" authorId="0" shapeId="0" xr:uid="{00000000-0006-0000-0600-00002C000000}">
      <text>
        <r>
          <rPr>
            <sz val="8"/>
            <color indexed="81"/>
            <rFont val="Tahoma"/>
            <family val="2"/>
          </rPr>
          <t>The Colour is dependent on the 
Fabric option selected. 
For a Day Night Blind, 
this Colour is for the 
Top Blind which can be either 
Blockout or Translucent.</t>
        </r>
      </text>
    </comment>
    <comment ref="H10" authorId="0" shapeId="0" xr:uid="{00000000-0006-0000-0600-00002D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0" authorId="0" shapeId="0" xr:uid="{00000000-0006-0000-0600-00002E00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10" authorId="0" shapeId="0" xr:uid="{00000000-0006-0000-0600-00002F00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10" authorId="0" shapeId="0" xr:uid="{00000000-0006-0000-0600-000030000000}">
      <text>
        <r>
          <rPr>
            <sz val="8"/>
            <color indexed="81"/>
            <rFont val="Tahoma"/>
            <family val="2"/>
          </rPr>
          <t>When selecting a
Corner or Bay Window Type, 
the CMB Corner WS 
or CMB Bay WS 
must be completed.</t>
        </r>
      </text>
    </comment>
    <comment ref="M10" authorId="0" shapeId="0" xr:uid="{00000000-0006-0000-0600-000031000000}">
      <text>
        <r>
          <rPr>
            <sz val="8"/>
            <color indexed="81"/>
            <rFont val="Tahoma"/>
            <family val="2"/>
          </rPr>
          <t>ACT 
Actual Measurements
You have made the allowances.
NAM
No Allowances Made 
The factory will make the deductions.</t>
        </r>
      </text>
    </comment>
    <comment ref="O10" authorId="0" shapeId="0" xr:uid="{00000000-0006-0000-0600-00003200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10" authorId="0" shapeId="0" xr:uid="{00000000-0006-0000-0600-000033000000}">
      <text>
        <r>
          <rPr>
            <sz val="8"/>
            <color indexed="81"/>
            <rFont val="Tahoma"/>
            <family val="2"/>
          </rPr>
          <t>Motor Control options are;
Battery Operated Motor - Left Side Wand
Battery Operated Motor - Right Side Wand
Hardwired Motor - Left Side Wand
Hardwired Motor - Right Side Wand</t>
        </r>
      </text>
    </comment>
    <comment ref="Q10" authorId="0" shapeId="0" xr:uid="{00000000-0006-0000-0600-000034000000}">
      <text>
        <r>
          <rPr>
            <sz val="8"/>
            <color indexed="81"/>
            <rFont val="Tahoma"/>
            <family val="2"/>
          </rPr>
          <t>If the Blind m2 is 
oversized, then 
"Check Size" 
will be listed.</t>
        </r>
      </text>
    </comment>
    <comment ref="R10" authorId="0" shapeId="0" xr:uid="{00000000-0006-0000-0600-00003500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11" authorId="0" shapeId="0" xr:uid="{00000000-0006-0000-0600-00003600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11" authorId="0" shapeId="0" xr:uid="{00000000-0006-0000-0600-000037000000}">
      <text>
        <r>
          <rPr>
            <sz val="8"/>
            <color indexed="81"/>
            <rFont val="Tahoma"/>
            <family val="2"/>
          </rPr>
          <t>Product options are;
25mm Single Cellular Blind
38mm Single Cellular Blind
38mm Double Cellular Blind</t>
        </r>
      </text>
    </comment>
    <comment ref="F11" authorId="0" shapeId="0" xr:uid="{00000000-0006-0000-0600-000038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11" authorId="0" shapeId="0" xr:uid="{00000000-0006-0000-0600-000039000000}">
      <text>
        <r>
          <rPr>
            <sz val="8"/>
            <color indexed="81"/>
            <rFont val="Tahoma"/>
            <family val="2"/>
          </rPr>
          <t>The Colour is dependent on the 
Fabric option selected. 
For a Day Night Blind, 
this Colour is for the 
Top Blind which can be either 
Blockout or Translucent.</t>
        </r>
      </text>
    </comment>
    <comment ref="H11" authorId="0" shapeId="0" xr:uid="{00000000-0006-0000-0600-00003A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1" authorId="0" shapeId="0" xr:uid="{00000000-0006-0000-0600-00003B00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11" authorId="0" shapeId="0" xr:uid="{00000000-0006-0000-0600-00003C00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11" authorId="0" shapeId="0" xr:uid="{00000000-0006-0000-0600-00003D000000}">
      <text>
        <r>
          <rPr>
            <sz val="8"/>
            <color indexed="81"/>
            <rFont val="Tahoma"/>
            <family val="2"/>
          </rPr>
          <t>When selecting a
Corner or Bay Window Type, 
the CMB Corner WS 
or CMB Bay WS 
must be completed.</t>
        </r>
      </text>
    </comment>
    <comment ref="M11" authorId="0" shapeId="0" xr:uid="{00000000-0006-0000-0600-00003E000000}">
      <text>
        <r>
          <rPr>
            <sz val="8"/>
            <color indexed="81"/>
            <rFont val="Tahoma"/>
            <family val="2"/>
          </rPr>
          <t>ACT 
Actual Measurements
You have made the allowances.
NAM
No Allowances Made 
The factory will make the deductions.</t>
        </r>
      </text>
    </comment>
    <comment ref="O11" authorId="0" shapeId="0" xr:uid="{00000000-0006-0000-0600-00003F00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11" authorId="0" shapeId="0" xr:uid="{00000000-0006-0000-0600-000040000000}">
      <text>
        <r>
          <rPr>
            <sz val="8"/>
            <color indexed="81"/>
            <rFont val="Tahoma"/>
            <family val="2"/>
          </rPr>
          <t>Motor Control options are;
Battery Operated Motor - Left Side Wand
Battery Operated Motor - Right Side Wand
Hardwired Motor - Left Side Wand
Hardwired Motor - Right Side Wand</t>
        </r>
      </text>
    </comment>
    <comment ref="Q11" authorId="0" shapeId="0" xr:uid="{00000000-0006-0000-0600-000041000000}">
      <text>
        <r>
          <rPr>
            <sz val="8"/>
            <color indexed="81"/>
            <rFont val="Tahoma"/>
            <family val="2"/>
          </rPr>
          <t>If the Blind m2 is 
oversized, then 
"Check Size" 
will be listed.</t>
        </r>
      </text>
    </comment>
    <comment ref="R11" authorId="0" shapeId="0" xr:uid="{00000000-0006-0000-0600-00004200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12" authorId="0" shapeId="0" xr:uid="{00000000-0006-0000-0600-00004300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12" authorId="0" shapeId="0" xr:uid="{00000000-0006-0000-0600-000044000000}">
      <text>
        <r>
          <rPr>
            <sz val="8"/>
            <color indexed="81"/>
            <rFont val="Tahoma"/>
            <family val="2"/>
          </rPr>
          <t>Product options are;
25mm Single Cellular Blind
38mm Single Cellular Blind
38mm Double Cellular Blind</t>
        </r>
      </text>
    </comment>
    <comment ref="F12" authorId="0" shapeId="0" xr:uid="{00000000-0006-0000-0600-000045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12" authorId="0" shapeId="0" xr:uid="{00000000-0006-0000-0600-000046000000}">
      <text>
        <r>
          <rPr>
            <sz val="8"/>
            <color indexed="81"/>
            <rFont val="Tahoma"/>
            <family val="2"/>
          </rPr>
          <t>The Colour is dependent on the 
Fabric option selected. 
For a Day Night Blind, 
this Colour is for the 
Top Blind which can be either 
Blockout or Translucent.</t>
        </r>
      </text>
    </comment>
    <comment ref="H12" authorId="0" shapeId="0" xr:uid="{00000000-0006-0000-0600-000047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2" authorId="0" shapeId="0" xr:uid="{00000000-0006-0000-0600-00004800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12" authorId="0" shapeId="0" xr:uid="{00000000-0006-0000-0600-00004900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12" authorId="0" shapeId="0" xr:uid="{00000000-0006-0000-0600-00004A000000}">
      <text>
        <r>
          <rPr>
            <sz val="8"/>
            <color indexed="81"/>
            <rFont val="Tahoma"/>
            <family val="2"/>
          </rPr>
          <t>When selecting a
Corner or Bay Window Type, 
the CMB Corner WS 
or CMB Bay WS 
must be completed.</t>
        </r>
      </text>
    </comment>
    <comment ref="M12" authorId="0" shapeId="0" xr:uid="{00000000-0006-0000-0600-00004B000000}">
      <text>
        <r>
          <rPr>
            <sz val="8"/>
            <color indexed="81"/>
            <rFont val="Tahoma"/>
            <family val="2"/>
          </rPr>
          <t>ACT 
Actual Measurements
You have made the allowances.
NAM
No Allowances Made 
The factory will make the deductions.</t>
        </r>
      </text>
    </comment>
    <comment ref="O12" authorId="0" shapeId="0" xr:uid="{00000000-0006-0000-0600-00004C00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12" authorId="0" shapeId="0" xr:uid="{00000000-0006-0000-0600-00004D000000}">
      <text>
        <r>
          <rPr>
            <sz val="8"/>
            <color indexed="81"/>
            <rFont val="Tahoma"/>
            <family val="2"/>
          </rPr>
          <t>Motor Control options are;
Battery Operated Motor - Left Side Wand
Battery Operated Motor - Right Side Wand
Hardwired Motor - Left Side Wand
Hardwired Motor - Right Side Wand</t>
        </r>
      </text>
    </comment>
    <comment ref="Q12" authorId="0" shapeId="0" xr:uid="{00000000-0006-0000-0600-00004E000000}">
      <text>
        <r>
          <rPr>
            <sz val="8"/>
            <color indexed="81"/>
            <rFont val="Tahoma"/>
            <family val="2"/>
          </rPr>
          <t>If the Blind m2 is 
oversized, then 
"Check Size" 
will be listed.</t>
        </r>
      </text>
    </comment>
    <comment ref="R12" authorId="0" shapeId="0" xr:uid="{00000000-0006-0000-0600-00004F00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13" authorId="0" shapeId="0" xr:uid="{00000000-0006-0000-0600-00005000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13" authorId="0" shapeId="0" xr:uid="{00000000-0006-0000-0600-000051000000}">
      <text>
        <r>
          <rPr>
            <sz val="8"/>
            <color indexed="81"/>
            <rFont val="Tahoma"/>
            <family val="2"/>
          </rPr>
          <t>Product options are;
25mm Single Cellular Blind
38mm Single Cellular Blind
38mm Double Cellular Blind</t>
        </r>
      </text>
    </comment>
    <comment ref="F13" authorId="0" shapeId="0" xr:uid="{00000000-0006-0000-0600-000052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13" authorId="0" shapeId="0" xr:uid="{00000000-0006-0000-0600-000053000000}">
      <text>
        <r>
          <rPr>
            <sz val="8"/>
            <color indexed="81"/>
            <rFont val="Tahoma"/>
            <family val="2"/>
          </rPr>
          <t>The Colour is dependent on the 
Fabric option selected. 
For a Day Night Blind, 
this Colour is for the 
Top Blind which can be either 
Blockout or Translucent.</t>
        </r>
      </text>
    </comment>
    <comment ref="H13" authorId="0" shapeId="0" xr:uid="{00000000-0006-0000-0600-000054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3" authorId="0" shapeId="0" xr:uid="{00000000-0006-0000-0600-00005500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13" authorId="0" shapeId="0" xr:uid="{00000000-0006-0000-0600-00005600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13" authorId="0" shapeId="0" xr:uid="{00000000-0006-0000-0600-000057000000}">
      <text>
        <r>
          <rPr>
            <sz val="8"/>
            <color indexed="81"/>
            <rFont val="Tahoma"/>
            <family val="2"/>
          </rPr>
          <t>When selecting a
Corner or Bay Window Type, 
the CMB Corner WS 
or CMB Bay WS 
must be completed.</t>
        </r>
      </text>
    </comment>
    <comment ref="M13" authorId="0" shapeId="0" xr:uid="{00000000-0006-0000-0600-000058000000}">
      <text>
        <r>
          <rPr>
            <sz val="8"/>
            <color indexed="81"/>
            <rFont val="Tahoma"/>
            <family val="2"/>
          </rPr>
          <t>ACT 
Actual Measurements
You have made the allowances.
NAM
No Allowances Made 
The factory will make the deductions.</t>
        </r>
      </text>
    </comment>
    <comment ref="O13" authorId="0" shapeId="0" xr:uid="{00000000-0006-0000-0600-00005900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13" authorId="0" shapeId="0" xr:uid="{00000000-0006-0000-0600-00005A000000}">
      <text>
        <r>
          <rPr>
            <sz val="8"/>
            <color indexed="81"/>
            <rFont val="Tahoma"/>
            <family val="2"/>
          </rPr>
          <t>Motor Control options are;
Battery Operated Motor - Left Side Wand
Battery Operated Motor - Right Side Wand
Hardwired Motor - Left Side Wand
Hardwired Motor - Right Side Wand</t>
        </r>
      </text>
    </comment>
    <comment ref="Q13" authorId="0" shapeId="0" xr:uid="{00000000-0006-0000-0600-00005B000000}">
      <text>
        <r>
          <rPr>
            <sz val="8"/>
            <color indexed="81"/>
            <rFont val="Tahoma"/>
            <family val="2"/>
          </rPr>
          <t>If the Blind m2 is 
oversized, then 
"Check Size" 
will be listed.</t>
        </r>
      </text>
    </comment>
    <comment ref="R13" authorId="0" shapeId="0" xr:uid="{00000000-0006-0000-0600-00005C00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14" authorId="0" shapeId="0" xr:uid="{00000000-0006-0000-0600-00005D00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14" authorId="0" shapeId="0" xr:uid="{00000000-0006-0000-0600-00005E000000}">
      <text>
        <r>
          <rPr>
            <sz val="8"/>
            <color indexed="81"/>
            <rFont val="Tahoma"/>
            <family val="2"/>
          </rPr>
          <t>Product options are;
25mm Single Cellular Blind
38mm Single Cellular Blind
38mm Double Cellular Blind</t>
        </r>
      </text>
    </comment>
    <comment ref="F14" authorId="0" shapeId="0" xr:uid="{00000000-0006-0000-0600-00005F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14" authorId="0" shapeId="0" xr:uid="{00000000-0006-0000-0600-000060000000}">
      <text>
        <r>
          <rPr>
            <sz val="8"/>
            <color indexed="81"/>
            <rFont val="Tahoma"/>
            <family val="2"/>
          </rPr>
          <t>The Colour is dependent on the 
Fabric option selected. 
For a Day Night Blind, 
this Colour is for the 
Top Blind which can be either 
Blockout or Translucent.</t>
        </r>
      </text>
    </comment>
    <comment ref="H14" authorId="0" shapeId="0" xr:uid="{00000000-0006-0000-0600-000061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4" authorId="0" shapeId="0" xr:uid="{00000000-0006-0000-0600-00006200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14" authorId="0" shapeId="0" xr:uid="{00000000-0006-0000-0600-00006300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14" authorId="0" shapeId="0" xr:uid="{00000000-0006-0000-0600-000064000000}">
      <text>
        <r>
          <rPr>
            <sz val="8"/>
            <color indexed="81"/>
            <rFont val="Tahoma"/>
            <family val="2"/>
          </rPr>
          <t>When selecting a
Corner or Bay Window Type, 
the CMB Corner WS 
or CMB Bay WS 
must be completed.</t>
        </r>
      </text>
    </comment>
    <comment ref="M14" authorId="0" shapeId="0" xr:uid="{00000000-0006-0000-0600-000065000000}">
      <text>
        <r>
          <rPr>
            <sz val="8"/>
            <color indexed="81"/>
            <rFont val="Tahoma"/>
            <family val="2"/>
          </rPr>
          <t>ACT 
Actual Measurements
You have made the allowances.
NAM
No Allowances Made 
The factory will make the deductions.</t>
        </r>
      </text>
    </comment>
    <comment ref="O14" authorId="0" shapeId="0" xr:uid="{00000000-0006-0000-0600-00006600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14" authorId="0" shapeId="0" xr:uid="{00000000-0006-0000-0600-000067000000}">
      <text>
        <r>
          <rPr>
            <sz val="8"/>
            <color indexed="81"/>
            <rFont val="Tahoma"/>
            <family val="2"/>
          </rPr>
          <t>Motor Control options are;
Battery Operated Motor - Left Side Wand
Battery Operated Motor - Right Side Wand
Hardwired Motor - Left Side Wand
Hardwired Motor - Right Side Wand</t>
        </r>
      </text>
    </comment>
    <comment ref="Q14" authorId="0" shapeId="0" xr:uid="{00000000-0006-0000-0600-000068000000}">
      <text>
        <r>
          <rPr>
            <sz val="8"/>
            <color indexed="81"/>
            <rFont val="Tahoma"/>
            <family val="2"/>
          </rPr>
          <t>If the Blind m2 is 
oversized, then 
"Check Size" 
will be listed.</t>
        </r>
      </text>
    </comment>
    <comment ref="R14" authorId="0" shapeId="0" xr:uid="{00000000-0006-0000-0600-00006900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15" authorId="0" shapeId="0" xr:uid="{00000000-0006-0000-0600-00006A00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15" authorId="0" shapeId="0" xr:uid="{00000000-0006-0000-0600-00006B000000}">
      <text>
        <r>
          <rPr>
            <sz val="8"/>
            <color indexed="81"/>
            <rFont val="Tahoma"/>
            <family val="2"/>
          </rPr>
          <t>Product options are;
25mm Single Cellular Blind
38mm Single Cellular Blind
38mm Double Cellular Blind</t>
        </r>
      </text>
    </comment>
    <comment ref="F15" authorId="0" shapeId="0" xr:uid="{00000000-0006-0000-0600-00006C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15" authorId="0" shapeId="0" xr:uid="{00000000-0006-0000-0600-00006D000000}">
      <text>
        <r>
          <rPr>
            <sz val="8"/>
            <color indexed="81"/>
            <rFont val="Tahoma"/>
            <family val="2"/>
          </rPr>
          <t>The Colour is dependent on the 
Fabric option selected. 
For a Day Night Blind, 
this Colour is for the 
Top Blind which can be either 
Blockout or Translucent.</t>
        </r>
      </text>
    </comment>
    <comment ref="H15" authorId="0" shapeId="0" xr:uid="{00000000-0006-0000-0600-00006E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5" authorId="0" shapeId="0" xr:uid="{00000000-0006-0000-0600-00006F00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15" authorId="0" shapeId="0" xr:uid="{00000000-0006-0000-0600-00007000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15" authorId="0" shapeId="0" xr:uid="{00000000-0006-0000-0600-000071000000}">
      <text>
        <r>
          <rPr>
            <sz val="8"/>
            <color indexed="81"/>
            <rFont val="Tahoma"/>
            <family val="2"/>
          </rPr>
          <t>When selecting a
Corner or Bay Window Type, 
the CMB Corner WS 
or CMB Bay WS 
must be completed.</t>
        </r>
      </text>
    </comment>
    <comment ref="M15" authorId="0" shapeId="0" xr:uid="{00000000-0006-0000-0600-000072000000}">
      <text>
        <r>
          <rPr>
            <sz val="8"/>
            <color indexed="81"/>
            <rFont val="Tahoma"/>
            <family val="2"/>
          </rPr>
          <t>ACT 
Actual Measurements
You have made the allowances.
NAM
No Allowances Made 
The factory will make the deductions.</t>
        </r>
      </text>
    </comment>
    <comment ref="O15" authorId="0" shapeId="0" xr:uid="{00000000-0006-0000-0600-00007300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15" authorId="0" shapeId="0" xr:uid="{00000000-0006-0000-0600-000074000000}">
      <text>
        <r>
          <rPr>
            <sz val="8"/>
            <color indexed="81"/>
            <rFont val="Tahoma"/>
            <family val="2"/>
          </rPr>
          <t>Motor Control options are;
Battery Operated Motor - Left Side Wand
Battery Operated Motor - Right Side Wand
Hardwired Motor - Left Side Wand
Hardwired Motor - Right Side Wand</t>
        </r>
      </text>
    </comment>
    <comment ref="Q15" authorId="0" shapeId="0" xr:uid="{00000000-0006-0000-0600-000075000000}">
      <text>
        <r>
          <rPr>
            <sz val="8"/>
            <color indexed="81"/>
            <rFont val="Tahoma"/>
            <family val="2"/>
          </rPr>
          <t>If the Blind m2 is 
oversized, then 
"Check Size" 
will be listed.</t>
        </r>
      </text>
    </comment>
    <comment ref="R15" authorId="0" shapeId="0" xr:uid="{00000000-0006-0000-0600-00007600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16" authorId="0" shapeId="0" xr:uid="{00000000-0006-0000-0600-00007700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16" authorId="0" shapeId="0" xr:uid="{00000000-0006-0000-0600-000078000000}">
      <text>
        <r>
          <rPr>
            <sz val="8"/>
            <color indexed="81"/>
            <rFont val="Tahoma"/>
            <family val="2"/>
          </rPr>
          <t>Product options are;
25mm Single Cellular Blind
38mm Single Cellular Blind
38mm Double Cellular Blind</t>
        </r>
      </text>
    </comment>
    <comment ref="F16" authorId="0" shapeId="0" xr:uid="{00000000-0006-0000-0600-000079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16" authorId="0" shapeId="0" xr:uid="{00000000-0006-0000-0600-00007A000000}">
      <text>
        <r>
          <rPr>
            <sz val="8"/>
            <color indexed="81"/>
            <rFont val="Tahoma"/>
            <family val="2"/>
          </rPr>
          <t>The Colour is dependent on the 
Fabric option selected. 
For a Day Night Blind, 
this Colour is for the 
Top Blind which can be either 
Blockout or Translucent.</t>
        </r>
      </text>
    </comment>
    <comment ref="H16" authorId="0" shapeId="0" xr:uid="{00000000-0006-0000-0600-00007B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6" authorId="0" shapeId="0" xr:uid="{00000000-0006-0000-0600-00007C00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16" authorId="0" shapeId="0" xr:uid="{00000000-0006-0000-0600-00007D00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16" authorId="0" shapeId="0" xr:uid="{00000000-0006-0000-0600-00007E000000}">
      <text>
        <r>
          <rPr>
            <sz val="8"/>
            <color indexed="81"/>
            <rFont val="Tahoma"/>
            <family val="2"/>
          </rPr>
          <t>When selecting a
Corner or Bay Window Type, 
the CMB Corner WS 
or CMB Bay WS 
must be completed.</t>
        </r>
      </text>
    </comment>
    <comment ref="M16" authorId="0" shapeId="0" xr:uid="{00000000-0006-0000-0600-00007F000000}">
      <text>
        <r>
          <rPr>
            <sz val="8"/>
            <color indexed="81"/>
            <rFont val="Tahoma"/>
            <family val="2"/>
          </rPr>
          <t>ACT 
Actual Measurements
You have made the allowances.
NAM
No Allowances Made 
The factory will make the deductions.</t>
        </r>
      </text>
    </comment>
    <comment ref="O16" authorId="0" shapeId="0" xr:uid="{00000000-0006-0000-0600-00008000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16" authorId="0" shapeId="0" xr:uid="{00000000-0006-0000-0600-000081000000}">
      <text>
        <r>
          <rPr>
            <sz val="8"/>
            <color indexed="81"/>
            <rFont val="Tahoma"/>
            <family val="2"/>
          </rPr>
          <t>Motor Control options are;
Battery Operated Motor - Left Side Wand
Battery Operated Motor - Right Side Wand
Hardwired Motor - Left Side Wand
Hardwired Motor - Right Side Wand</t>
        </r>
      </text>
    </comment>
    <comment ref="Q16" authorId="0" shapeId="0" xr:uid="{00000000-0006-0000-0600-000082000000}">
      <text>
        <r>
          <rPr>
            <sz val="8"/>
            <color indexed="81"/>
            <rFont val="Tahoma"/>
            <family val="2"/>
          </rPr>
          <t>If the Blind m2 is 
oversized, then 
"Check Size" 
will be listed.</t>
        </r>
      </text>
    </comment>
    <comment ref="R16" authorId="0" shapeId="0" xr:uid="{00000000-0006-0000-0600-00008300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17" authorId="0" shapeId="0" xr:uid="{00000000-0006-0000-0600-00008400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17" authorId="0" shapeId="0" xr:uid="{00000000-0006-0000-0600-000085000000}">
      <text>
        <r>
          <rPr>
            <sz val="8"/>
            <color indexed="81"/>
            <rFont val="Tahoma"/>
            <family val="2"/>
          </rPr>
          <t>Product options are;
25mm Single Cellular Blind
38mm Single Cellular Blind
38mm Double Cellular Blind</t>
        </r>
      </text>
    </comment>
    <comment ref="F17" authorId="0" shapeId="0" xr:uid="{00000000-0006-0000-0600-000086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17" authorId="0" shapeId="0" xr:uid="{00000000-0006-0000-0600-000087000000}">
      <text>
        <r>
          <rPr>
            <sz val="8"/>
            <color indexed="81"/>
            <rFont val="Tahoma"/>
            <family val="2"/>
          </rPr>
          <t>The Colour is dependent on the 
Fabric option selected. 
For a Day Night Blind, 
this Colour is for the 
Top Blind which can be either 
Blockout or Translucent.</t>
        </r>
      </text>
    </comment>
    <comment ref="H17" authorId="0" shapeId="0" xr:uid="{00000000-0006-0000-0600-000088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7" authorId="0" shapeId="0" xr:uid="{00000000-0006-0000-0600-00008900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17" authorId="0" shapeId="0" xr:uid="{00000000-0006-0000-0600-00008A00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17" authorId="0" shapeId="0" xr:uid="{00000000-0006-0000-0600-00008B000000}">
      <text>
        <r>
          <rPr>
            <sz val="8"/>
            <color indexed="81"/>
            <rFont val="Tahoma"/>
            <family val="2"/>
          </rPr>
          <t>When selecting a
Corner or Bay Window Type, 
the CMB Corner WS 
or CMB Bay WS 
must be completed.</t>
        </r>
      </text>
    </comment>
    <comment ref="M17" authorId="0" shapeId="0" xr:uid="{00000000-0006-0000-0600-00008C000000}">
      <text>
        <r>
          <rPr>
            <sz val="8"/>
            <color indexed="81"/>
            <rFont val="Tahoma"/>
            <family val="2"/>
          </rPr>
          <t>ACT 
Actual Measurements
You have made the allowances.
NAM
No Allowances Made 
The factory will make the deductions.</t>
        </r>
      </text>
    </comment>
    <comment ref="O17" authorId="0" shapeId="0" xr:uid="{00000000-0006-0000-0600-00008D00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17" authorId="0" shapeId="0" xr:uid="{00000000-0006-0000-0600-00008E000000}">
      <text>
        <r>
          <rPr>
            <sz val="8"/>
            <color indexed="81"/>
            <rFont val="Tahoma"/>
            <family val="2"/>
          </rPr>
          <t>Motor Control options are;
Battery Operated Motor - Left Side Wand
Battery Operated Motor - Right Side Wand
Hardwired Motor - Left Side Wand
Hardwired Motor - Right Side Wand</t>
        </r>
      </text>
    </comment>
    <comment ref="Q17" authorId="0" shapeId="0" xr:uid="{00000000-0006-0000-0600-00008F000000}">
      <text>
        <r>
          <rPr>
            <sz val="8"/>
            <color indexed="81"/>
            <rFont val="Tahoma"/>
            <family val="2"/>
          </rPr>
          <t>If the Blind m2 is 
oversized, then 
"Check Size" 
will be listed.</t>
        </r>
      </text>
    </comment>
    <comment ref="R17" authorId="0" shapeId="0" xr:uid="{00000000-0006-0000-0600-00009000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18" authorId="0" shapeId="0" xr:uid="{00000000-0006-0000-0600-00009100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18" authorId="0" shapeId="0" xr:uid="{00000000-0006-0000-0600-000092000000}">
      <text>
        <r>
          <rPr>
            <sz val="8"/>
            <color indexed="81"/>
            <rFont val="Tahoma"/>
            <family val="2"/>
          </rPr>
          <t>Product options are;
25mm Single Cellular Blind
38mm Single Cellular Blind
38mm Double Cellular Blind</t>
        </r>
      </text>
    </comment>
    <comment ref="F18" authorId="0" shapeId="0" xr:uid="{00000000-0006-0000-0600-000093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18" authorId="0" shapeId="0" xr:uid="{00000000-0006-0000-0600-000094000000}">
      <text>
        <r>
          <rPr>
            <sz val="8"/>
            <color indexed="81"/>
            <rFont val="Tahoma"/>
            <family val="2"/>
          </rPr>
          <t>The Colour is dependent on the 
Fabric option selected. 
For a Day Night Blind, 
this Colour is for the 
Top Blind which can be either 
Blockout or Translucent.</t>
        </r>
      </text>
    </comment>
    <comment ref="H18" authorId="0" shapeId="0" xr:uid="{00000000-0006-0000-0600-000095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8" authorId="0" shapeId="0" xr:uid="{00000000-0006-0000-0600-00009600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18" authorId="0" shapeId="0" xr:uid="{00000000-0006-0000-0600-00009700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18" authorId="0" shapeId="0" xr:uid="{00000000-0006-0000-0600-000098000000}">
      <text>
        <r>
          <rPr>
            <sz val="8"/>
            <color indexed="81"/>
            <rFont val="Tahoma"/>
            <family val="2"/>
          </rPr>
          <t>When selecting a
Corner or Bay Window Type, 
the CMB Corner WS 
or CMB Bay WS 
must be completed.</t>
        </r>
      </text>
    </comment>
    <comment ref="M18" authorId="0" shapeId="0" xr:uid="{00000000-0006-0000-0600-000099000000}">
      <text>
        <r>
          <rPr>
            <sz val="8"/>
            <color indexed="81"/>
            <rFont val="Tahoma"/>
            <family val="2"/>
          </rPr>
          <t>ACT 
Actual Measurements
You have made the allowances.
NAM
No Allowances Made 
The factory will make the deductions.</t>
        </r>
      </text>
    </comment>
    <comment ref="O18" authorId="0" shapeId="0" xr:uid="{00000000-0006-0000-0600-00009A00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18" authorId="0" shapeId="0" xr:uid="{00000000-0006-0000-0600-00009B000000}">
      <text>
        <r>
          <rPr>
            <sz val="8"/>
            <color indexed="81"/>
            <rFont val="Tahoma"/>
            <family val="2"/>
          </rPr>
          <t>Motor Control options are;
Battery Operated Motor - Left Side Wand
Battery Operated Motor - Right Side Wand
Hardwired Motor - Left Side Wand
Hardwired Motor - Right Side Wand</t>
        </r>
      </text>
    </comment>
    <comment ref="Q18" authorId="0" shapeId="0" xr:uid="{00000000-0006-0000-0600-00009C000000}">
      <text>
        <r>
          <rPr>
            <sz val="8"/>
            <color indexed="81"/>
            <rFont val="Tahoma"/>
            <family val="2"/>
          </rPr>
          <t>If the Blind m2 is 
oversized, then 
"Check Size" 
will be listed.</t>
        </r>
      </text>
    </comment>
    <comment ref="R18" authorId="0" shapeId="0" xr:uid="{00000000-0006-0000-0600-00009D00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19" authorId="0" shapeId="0" xr:uid="{00000000-0006-0000-0600-00009E00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19" authorId="0" shapeId="0" xr:uid="{00000000-0006-0000-0600-00009F000000}">
      <text>
        <r>
          <rPr>
            <sz val="8"/>
            <color indexed="81"/>
            <rFont val="Tahoma"/>
            <family val="2"/>
          </rPr>
          <t>Product options are;
25mm Single Cellular Blind
38mm Single Cellular Blind
38mm Double Cellular Blind</t>
        </r>
      </text>
    </comment>
    <comment ref="F19" authorId="0" shapeId="0" xr:uid="{00000000-0006-0000-0600-0000A0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19" authorId="0" shapeId="0" xr:uid="{00000000-0006-0000-0600-0000A1000000}">
      <text>
        <r>
          <rPr>
            <sz val="8"/>
            <color indexed="81"/>
            <rFont val="Tahoma"/>
            <family val="2"/>
          </rPr>
          <t>The Colour is dependent on the 
Fabric option selected. 
For a Day Night Blind, 
this Colour is for the 
Top Blind which can be either 
Blockout or Translucent.</t>
        </r>
      </text>
    </comment>
    <comment ref="H19" authorId="0" shapeId="0" xr:uid="{00000000-0006-0000-0600-0000A2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9" authorId="0" shapeId="0" xr:uid="{00000000-0006-0000-0600-0000A300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19" authorId="0" shapeId="0" xr:uid="{00000000-0006-0000-0600-0000A400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19" authorId="0" shapeId="0" xr:uid="{00000000-0006-0000-0600-0000A5000000}">
      <text>
        <r>
          <rPr>
            <sz val="8"/>
            <color indexed="81"/>
            <rFont val="Tahoma"/>
            <family val="2"/>
          </rPr>
          <t>When selecting a
Corner or Bay Window Type, 
the CMB Corner WS 
or CMB Bay WS 
must be completed.</t>
        </r>
      </text>
    </comment>
    <comment ref="M19" authorId="0" shapeId="0" xr:uid="{00000000-0006-0000-0600-0000A6000000}">
      <text>
        <r>
          <rPr>
            <sz val="8"/>
            <color indexed="81"/>
            <rFont val="Tahoma"/>
            <family val="2"/>
          </rPr>
          <t>ACT 
Actual Measurements
You have made the allowances.
NAM
No Allowances Made 
The factory will make the deductions.</t>
        </r>
      </text>
    </comment>
    <comment ref="O19" authorId="0" shapeId="0" xr:uid="{00000000-0006-0000-0600-0000A700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19" authorId="0" shapeId="0" xr:uid="{00000000-0006-0000-0600-0000A8000000}">
      <text>
        <r>
          <rPr>
            <sz val="8"/>
            <color indexed="81"/>
            <rFont val="Tahoma"/>
            <family val="2"/>
          </rPr>
          <t>Motor Control options are;
Battery Operated Motor - Left Side Wand
Battery Operated Motor - Right Side Wand
Hardwired Motor - Left Side Wand
Hardwired Motor - Right Side Wand</t>
        </r>
      </text>
    </comment>
    <comment ref="Q19" authorId="0" shapeId="0" xr:uid="{00000000-0006-0000-0600-0000A9000000}">
      <text>
        <r>
          <rPr>
            <sz val="8"/>
            <color indexed="81"/>
            <rFont val="Tahoma"/>
            <family val="2"/>
          </rPr>
          <t>If the Blind m2 is 
oversized, then 
"Check Size" 
will be listed.</t>
        </r>
      </text>
    </comment>
    <comment ref="R19" authorId="0" shapeId="0" xr:uid="{00000000-0006-0000-0600-0000AA00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20" authorId="0" shapeId="0" xr:uid="{00000000-0006-0000-0600-0000AB00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20" authorId="0" shapeId="0" xr:uid="{00000000-0006-0000-0600-0000AC000000}">
      <text>
        <r>
          <rPr>
            <sz val="8"/>
            <color indexed="81"/>
            <rFont val="Tahoma"/>
            <family val="2"/>
          </rPr>
          <t>Product options are;
25mm Single Cellular Blind
38mm Single Cellular Blind
38mm Double Cellular Blind</t>
        </r>
      </text>
    </comment>
    <comment ref="F20" authorId="0" shapeId="0" xr:uid="{00000000-0006-0000-0600-0000AD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20" authorId="0" shapeId="0" xr:uid="{00000000-0006-0000-0600-0000AE000000}">
      <text>
        <r>
          <rPr>
            <sz val="8"/>
            <color indexed="81"/>
            <rFont val="Tahoma"/>
            <family val="2"/>
          </rPr>
          <t>The Colour is dependent on the 
Fabric option selected. 
For a Day Night Blind, 
this Colour is for the 
Top Blind which can be either 
Blockout or Translucent.</t>
        </r>
      </text>
    </comment>
    <comment ref="H20" authorId="0" shapeId="0" xr:uid="{00000000-0006-0000-0600-0000AF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0" authorId="0" shapeId="0" xr:uid="{00000000-0006-0000-0600-0000B000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20" authorId="0" shapeId="0" xr:uid="{00000000-0006-0000-0600-0000B100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20" authorId="0" shapeId="0" xr:uid="{00000000-0006-0000-0600-0000B2000000}">
      <text>
        <r>
          <rPr>
            <sz val="8"/>
            <color indexed="81"/>
            <rFont val="Tahoma"/>
            <family val="2"/>
          </rPr>
          <t>When selecting a
Corner or Bay Window Type, 
the CMB Corner WS 
or CMB Bay WS 
must be completed.</t>
        </r>
      </text>
    </comment>
    <comment ref="M20" authorId="0" shapeId="0" xr:uid="{00000000-0006-0000-0600-0000B3000000}">
      <text>
        <r>
          <rPr>
            <sz val="8"/>
            <color indexed="81"/>
            <rFont val="Tahoma"/>
            <family val="2"/>
          </rPr>
          <t>ACT 
Actual Measurements
You have made the allowances.
NAM
No Allowances Made 
The factory will make the deductions.</t>
        </r>
      </text>
    </comment>
    <comment ref="O20" authorId="0" shapeId="0" xr:uid="{00000000-0006-0000-0600-0000B400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20" authorId="0" shapeId="0" xr:uid="{00000000-0006-0000-0600-0000B5000000}">
      <text>
        <r>
          <rPr>
            <sz val="8"/>
            <color indexed="81"/>
            <rFont val="Tahoma"/>
            <family val="2"/>
          </rPr>
          <t>Motor Control options are;
Battery Operated Motor - Left Side Wand
Battery Operated Motor - Right Side Wand
Hardwired Motor - Left Side Wand
Hardwired Motor - Right Side Wand</t>
        </r>
      </text>
    </comment>
    <comment ref="Q20" authorId="0" shapeId="0" xr:uid="{00000000-0006-0000-0600-0000B6000000}">
      <text>
        <r>
          <rPr>
            <sz val="8"/>
            <color indexed="81"/>
            <rFont val="Tahoma"/>
            <family val="2"/>
          </rPr>
          <t>If the Blind m2 is 
oversized, then 
"Check Size" 
will be listed.</t>
        </r>
      </text>
    </comment>
    <comment ref="R20" authorId="0" shapeId="0" xr:uid="{00000000-0006-0000-0600-0000B700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21" authorId="0" shapeId="0" xr:uid="{00000000-0006-0000-0600-0000B800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21" authorId="0" shapeId="0" xr:uid="{00000000-0006-0000-0600-0000B9000000}">
      <text>
        <r>
          <rPr>
            <sz val="8"/>
            <color indexed="81"/>
            <rFont val="Tahoma"/>
            <family val="2"/>
          </rPr>
          <t>Product options are;
25mm Single Cellular Blind
38mm Single Cellular Blind
38mm Double Cellular Blind</t>
        </r>
      </text>
    </comment>
    <comment ref="F21" authorId="0" shapeId="0" xr:uid="{00000000-0006-0000-0600-0000BA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21" authorId="0" shapeId="0" xr:uid="{00000000-0006-0000-0600-0000BB000000}">
      <text>
        <r>
          <rPr>
            <sz val="8"/>
            <color indexed="81"/>
            <rFont val="Tahoma"/>
            <family val="2"/>
          </rPr>
          <t>The Colour is dependent on the 
Fabric option selected. 
For a Day Night Blind, 
this Colour is for the 
Top Blind which can be either 
Blockout or Translucent.</t>
        </r>
      </text>
    </comment>
    <comment ref="H21" authorId="0" shapeId="0" xr:uid="{00000000-0006-0000-0600-0000BC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1" authorId="0" shapeId="0" xr:uid="{00000000-0006-0000-0600-0000BD00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21" authorId="0" shapeId="0" xr:uid="{00000000-0006-0000-0600-0000BE00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21" authorId="0" shapeId="0" xr:uid="{00000000-0006-0000-0600-0000BF000000}">
      <text>
        <r>
          <rPr>
            <sz val="8"/>
            <color indexed="81"/>
            <rFont val="Tahoma"/>
            <family val="2"/>
          </rPr>
          <t>When selecting a
Corner or Bay Window Type, 
the CMB Corner WS 
or CMB Bay WS 
must be completed.</t>
        </r>
      </text>
    </comment>
    <comment ref="M21" authorId="0" shapeId="0" xr:uid="{00000000-0006-0000-0600-0000C0000000}">
      <text>
        <r>
          <rPr>
            <sz val="8"/>
            <color indexed="81"/>
            <rFont val="Tahoma"/>
            <family val="2"/>
          </rPr>
          <t>ACT 
Actual Measurements
You have made the allowances.
NAM
No Allowances Made 
The factory will make the deductions.</t>
        </r>
      </text>
    </comment>
    <comment ref="O21" authorId="0" shapeId="0" xr:uid="{00000000-0006-0000-0600-0000C100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21" authorId="0" shapeId="0" xr:uid="{00000000-0006-0000-0600-0000C2000000}">
      <text>
        <r>
          <rPr>
            <sz val="8"/>
            <color indexed="81"/>
            <rFont val="Tahoma"/>
            <family val="2"/>
          </rPr>
          <t>Motor Control options are;
Battery Operated Motor - Left Side Wand
Battery Operated Motor - Right Side Wand
Hardwired Motor - Left Side Wand
Hardwired Motor - Right Side Wand</t>
        </r>
      </text>
    </comment>
    <comment ref="Q21" authorId="0" shapeId="0" xr:uid="{00000000-0006-0000-0600-0000C3000000}">
      <text>
        <r>
          <rPr>
            <sz val="8"/>
            <color indexed="81"/>
            <rFont val="Tahoma"/>
            <family val="2"/>
          </rPr>
          <t>If the Blind m2 is 
oversized, then 
"Check Size" 
will be listed.</t>
        </r>
      </text>
    </comment>
    <comment ref="R21" authorId="0" shapeId="0" xr:uid="{00000000-0006-0000-0600-0000C400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22" authorId="0" shapeId="0" xr:uid="{00000000-0006-0000-0600-0000C500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22" authorId="0" shapeId="0" xr:uid="{00000000-0006-0000-0600-0000C6000000}">
      <text>
        <r>
          <rPr>
            <sz val="8"/>
            <color indexed="81"/>
            <rFont val="Tahoma"/>
            <family val="2"/>
          </rPr>
          <t>Product options are;
25mm Single Cellular Blind
38mm Single Cellular Blind
38mm Double Cellular Blind</t>
        </r>
      </text>
    </comment>
    <comment ref="F22" authorId="0" shapeId="0" xr:uid="{00000000-0006-0000-0600-0000C7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22" authorId="0" shapeId="0" xr:uid="{00000000-0006-0000-0600-0000C8000000}">
      <text>
        <r>
          <rPr>
            <sz val="8"/>
            <color indexed="81"/>
            <rFont val="Tahoma"/>
            <family val="2"/>
          </rPr>
          <t>The Colour is dependent on the 
Fabric option selected. 
For a Day Night Blind, 
this Colour is for the 
Top Blind which can be either 
Blockout or Translucent.</t>
        </r>
      </text>
    </comment>
    <comment ref="H22" authorId="0" shapeId="0" xr:uid="{00000000-0006-0000-0600-0000C9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2" authorId="0" shapeId="0" xr:uid="{00000000-0006-0000-0600-0000CA00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22" authorId="0" shapeId="0" xr:uid="{00000000-0006-0000-0600-0000CB00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22" authorId="0" shapeId="0" xr:uid="{00000000-0006-0000-0600-0000CC000000}">
      <text>
        <r>
          <rPr>
            <sz val="8"/>
            <color indexed="81"/>
            <rFont val="Tahoma"/>
            <family val="2"/>
          </rPr>
          <t>When selecting a
Corner or Bay Window Type, 
the CMB Corner WS 
or CMB Bay WS 
must be completed.</t>
        </r>
      </text>
    </comment>
    <comment ref="M22" authorId="0" shapeId="0" xr:uid="{00000000-0006-0000-0600-0000CD000000}">
      <text>
        <r>
          <rPr>
            <sz val="8"/>
            <color indexed="81"/>
            <rFont val="Tahoma"/>
            <family val="2"/>
          </rPr>
          <t>ACT 
Actual Measurements
You have made the allowances.
NAM
No Allowances Made 
The factory will make the deductions.</t>
        </r>
      </text>
    </comment>
    <comment ref="O22" authorId="0" shapeId="0" xr:uid="{00000000-0006-0000-0600-0000CE00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22" authorId="0" shapeId="0" xr:uid="{00000000-0006-0000-0600-0000CF000000}">
      <text>
        <r>
          <rPr>
            <sz val="8"/>
            <color indexed="81"/>
            <rFont val="Tahoma"/>
            <family val="2"/>
          </rPr>
          <t>Motor Control options are;
Battery Operated Motor - Left Side Wand
Battery Operated Motor - Right Side Wand
Hardwired Motor - Left Side Wand
Hardwired Motor - Right Side Wand</t>
        </r>
      </text>
    </comment>
    <comment ref="Q22" authorId="0" shapeId="0" xr:uid="{00000000-0006-0000-0600-0000D0000000}">
      <text>
        <r>
          <rPr>
            <sz val="8"/>
            <color indexed="81"/>
            <rFont val="Tahoma"/>
            <family val="2"/>
          </rPr>
          <t>If the Blind m2 is 
oversized, then 
"Check Size" 
will be listed.</t>
        </r>
      </text>
    </comment>
    <comment ref="R22" authorId="0" shapeId="0" xr:uid="{00000000-0006-0000-0600-0000D100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23" authorId="0" shapeId="0" xr:uid="{00000000-0006-0000-0600-0000D200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23" authorId="0" shapeId="0" xr:uid="{00000000-0006-0000-0600-0000D3000000}">
      <text>
        <r>
          <rPr>
            <sz val="8"/>
            <color indexed="81"/>
            <rFont val="Tahoma"/>
            <family val="2"/>
          </rPr>
          <t>Product options are;
25mm Single Cellular Blind
38mm Single Cellular Blind
38mm Double Cellular Blind</t>
        </r>
      </text>
    </comment>
    <comment ref="F23" authorId="0" shapeId="0" xr:uid="{00000000-0006-0000-0600-0000D4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23" authorId="0" shapeId="0" xr:uid="{00000000-0006-0000-0600-0000D5000000}">
      <text>
        <r>
          <rPr>
            <sz val="8"/>
            <color indexed="81"/>
            <rFont val="Tahoma"/>
            <family val="2"/>
          </rPr>
          <t>The Colour is dependent on the 
Fabric option selected. 
For a Day Night Blind, 
this Colour is for the 
Top Blind which can be either 
Blockout or Translucent.</t>
        </r>
      </text>
    </comment>
    <comment ref="H23" authorId="0" shapeId="0" xr:uid="{00000000-0006-0000-0600-0000D6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3" authorId="0" shapeId="0" xr:uid="{00000000-0006-0000-0600-0000D700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23" authorId="0" shapeId="0" xr:uid="{00000000-0006-0000-0600-0000D800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23" authorId="0" shapeId="0" xr:uid="{00000000-0006-0000-0600-0000D9000000}">
      <text>
        <r>
          <rPr>
            <sz val="8"/>
            <color indexed="81"/>
            <rFont val="Tahoma"/>
            <family val="2"/>
          </rPr>
          <t>When selecting a
Corner or Bay Window Type, 
the CMB Corner WS 
or CMB Bay WS 
must be completed.</t>
        </r>
      </text>
    </comment>
    <comment ref="M23" authorId="0" shapeId="0" xr:uid="{00000000-0006-0000-0600-0000DA000000}">
      <text>
        <r>
          <rPr>
            <sz val="8"/>
            <color indexed="81"/>
            <rFont val="Tahoma"/>
            <family val="2"/>
          </rPr>
          <t>ACT 
Actual Measurements
You have made the allowances.
NAM
No Allowances Made 
The factory will make the deductions.</t>
        </r>
      </text>
    </comment>
    <comment ref="O23" authorId="0" shapeId="0" xr:uid="{00000000-0006-0000-0600-0000DB00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23" authorId="0" shapeId="0" xr:uid="{00000000-0006-0000-0600-0000DC000000}">
      <text>
        <r>
          <rPr>
            <sz val="8"/>
            <color indexed="81"/>
            <rFont val="Tahoma"/>
            <family val="2"/>
          </rPr>
          <t>Motor Control options are;
Battery Operated Motor - Left Side Wand
Battery Operated Motor - Right Side Wand
Hardwired Motor - Left Side Wand
Hardwired Motor - Right Side Wand</t>
        </r>
      </text>
    </comment>
    <comment ref="Q23" authorId="0" shapeId="0" xr:uid="{00000000-0006-0000-0600-0000DD000000}">
      <text>
        <r>
          <rPr>
            <sz val="8"/>
            <color indexed="81"/>
            <rFont val="Tahoma"/>
            <family val="2"/>
          </rPr>
          <t>If the Blind m2 is 
oversized, then 
"Check Size" 
will be listed.</t>
        </r>
      </text>
    </comment>
    <comment ref="R23" authorId="0" shapeId="0" xr:uid="{00000000-0006-0000-0600-0000DE00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24" authorId="0" shapeId="0" xr:uid="{00000000-0006-0000-0600-0000DF00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24" authorId="0" shapeId="0" xr:uid="{00000000-0006-0000-0600-0000E0000000}">
      <text>
        <r>
          <rPr>
            <sz val="8"/>
            <color indexed="81"/>
            <rFont val="Tahoma"/>
            <family val="2"/>
          </rPr>
          <t>Product options are;
25mm Single Cellular Blind
38mm Single Cellular Blind
38mm Double Cellular Blind</t>
        </r>
      </text>
    </comment>
    <comment ref="F24" authorId="0" shapeId="0" xr:uid="{00000000-0006-0000-0600-0000E1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24" authorId="0" shapeId="0" xr:uid="{00000000-0006-0000-0600-0000E2000000}">
      <text>
        <r>
          <rPr>
            <sz val="8"/>
            <color indexed="81"/>
            <rFont val="Tahoma"/>
            <family val="2"/>
          </rPr>
          <t>The Colour is dependent on the 
Fabric option selected. 
For a Day Night Blind, 
this Colour is for the 
Top Blind which can be either 
Blockout or Translucent.</t>
        </r>
      </text>
    </comment>
    <comment ref="H24" authorId="0" shapeId="0" xr:uid="{00000000-0006-0000-0600-0000E3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4" authorId="0" shapeId="0" xr:uid="{00000000-0006-0000-0600-0000E400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24" authorId="0" shapeId="0" xr:uid="{00000000-0006-0000-0600-0000E500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24" authorId="0" shapeId="0" xr:uid="{00000000-0006-0000-0600-0000E6000000}">
      <text>
        <r>
          <rPr>
            <sz val="8"/>
            <color indexed="81"/>
            <rFont val="Tahoma"/>
            <family val="2"/>
          </rPr>
          <t>When selecting a
Corner or Bay Window Type, 
the CMB Corner WS 
or CMB Bay WS 
must be completed.</t>
        </r>
      </text>
    </comment>
    <comment ref="M24" authorId="0" shapeId="0" xr:uid="{00000000-0006-0000-0600-0000E7000000}">
      <text>
        <r>
          <rPr>
            <sz val="8"/>
            <color indexed="81"/>
            <rFont val="Tahoma"/>
            <family val="2"/>
          </rPr>
          <t>ACT 
Actual Measurements
You have made the allowances.
NAM
No Allowances Made 
The factory will make the deductions.</t>
        </r>
      </text>
    </comment>
    <comment ref="O24" authorId="0" shapeId="0" xr:uid="{00000000-0006-0000-0600-0000E800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24" authorId="0" shapeId="0" xr:uid="{00000000-0006-0000-0600-0000E9000000}">
      <text>
        <r>
          <rPr>
            <sz val="8"/>
            <color indexed="81"/>
            <rFont val="Tahoma"/>
            <family val="2"/>
          </rPr>
          <t>Motor Control options are;
Battery Operated Motor - Left Side Wand
Battery Operated Motor - Right Side Wand
Hardwired Motor - Left Side Wand
Hardwired Motor - Right Side Wand</t>
        </r>
      </text>
    </comment>
    <comment ref="Q24" authorId="0" shapeId="0" xr:uid="{00000000-0006-0000-0600-0000EA000000}">
      <text>
        <r>
          <rPr>
            <sz val="8"/>
            <color indexed="81"/>
            <rFont val="Tahoma"/>
            <family val="2"/>
          </rPr>
          <t>If the Blind m2 is 
oversized, then 
"Check Size" 
will be listed.</t>
        </r>
      </text>
    </comment>
    <comment ref="R24" authorId="0" shapeId="0" xr:uid="{00000000-0006-0000-0600-0000EB00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25" authorId="0" shapeId="0" xr:uid="{00000000-0006-0000-0600-0000EC00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25" authorId="0" shapeId="0" xr:uid="{00000000-0006-0000-0600-0000ED000000}">
      <text>
        <r>
          <rPr>
            <sz val="8"/>
            <color indexed="81"/>
            <rFont val="Tahoma"/>
            <family val="2"/>
          </rPr>
          <t>Product options are;
25mm Single Cellular Blind
38mm Single Cellular Blind
38mm Double Cellular Blind</t>
        </r>
      </text>
    </comment>
    <comment ref="F25" authorId="0" shapeId="0" xr:uid="{00000000-0006-0000-0600-0000EE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25" authorId="0" shapeId="0" xr:uid="{00000000-0006-0000-0600-0000EF000000}">
      <text>
        <r>
          <rPr>
            <sz val="8"/>
            <color indexed="81"/>
            <rFont val="Tahoma"/>
            <family val="2"/>
          </rPr>
          <t>The Colour is dependent on the 
Fabric option selected. 
For a Day Night Blind, 
this Colour is for the 
Top Blind which can be either 
Blockout or Translucent.</t>
        </r>
      </text>
    </comment>
    <comment ref="H25" authorId="0" shapeId="0" xr:uid="{00000000-0006-0000-0600-0000F0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5" authorId="0" shapeId="0" xr:uid="{00000000-0006-0000-0600-0000F100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25" authorId="0" shapeId="0" xr:uid="{00000000-0006-0000-0600-0000F200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25" authorId="0" shapeId="0" xr:uid="{00000000-0006-0000-0600-0000F3000000}">
      <text>
        <r>
          <rPr>
            <sz val="8"/>
            <color indexed="81"/>
            <rFont val="Tahoma"/>
            <family val="2"/>
          </rPr>
          <t>When selecting a
Corner or Bay Window Type, 
the CMB Corner WS 
or CMB Bay WS 
must be completed.</t>
        </r>
      </text>
    </comment>
    <comment ref="M25" authorId="0" shapeId="0" xr:uid="{00000000-0006-0000-0600-0000F4000000}">
      <text>
        <r>
          <rPr>
            <sz val="8"/>
            <color indexed="81"/>
            <rFont val="Tahoma"/>
            <family val="2"/>
          </rPr>
          <t>ACT 
Actual Measurements
You have made the allowances.
NAM
No Allowances Made 
The factory will make the deductions.</t>
        </r>
      </text>
    </comment>
    <comment ref="O25" authorId="0" shapeId="0" xr:uid="{00000000-0006-0000-0600-0000F500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25" authorId="0" shapeId="0" xr:uid="{00000000-0006-0000-0600-0000F6000000}">
      <text>
        <r>
          <rPr>
            <sz val="8"/>
            <color indexed="81"/>
            <rFont val="Tahoma"/>
            <family val="2"/>
          </rPr>
          <t>Motor Control options are;
Battery Operated Motor - Left Side Wand
Battery Operated Motor - Right Side Wand
Hardwired Motor - Left Side Wand
Hardwired Motor - Right Side Wand</t>
        </r>
      </text>
    </comment>
    <comment ref="Q25" authorId="0" shapeId="0" xr:uid="{00000000-0006-0000-0600-0000F7000000}">
      <text>
        <r>
          <rPr>
            <sz val="8"/>
            <color indexed="81"/>
            <rFont val="Tahoma"/>
            <family val="2"/>
          </rPr>
          <t>If the Blind m2 is 
oversized, then 
"Check Size" 
will be listed.</t>
        </r>
      </text>
    </comment>
    <comment ref="R25" authorId="0" shapeId="0" xr:uid="{00000000-0006-0000-0600-0000F800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26" authorId="0" shapeId="0" xr:uid="{00000000-0006-0000-0600-0000F900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26" authorId="0" shapeId="0" xr:uid="{00000000-0006-0000-0600-0000FA000000}">
      <text>
        <r>
          <rPr>
            <sz val="8"/>
            <color indexed="81"/>
            <rFont val="Tahoma"/>
            <family val="2"/>
          </rPr>
          <t>Product options are;
25mm Single Cellular Blind
38mm Single Cellular Blind
38mm Double Cellular Blind</t>
        </r>
      </text>
    </comment>
    <comment ref="F26" authorId="0" shapeId="0" xr:uid="{00000000-0006-0000-0600-0000FB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26" authorId="0" shapeId="0" xr:uid="{00000000-0006-0000-0600-0000FC000000}">
      <text>
        <r>
          <rPr>
            <sz val="8"/>
            <color indexed="81"/>
            <rFont val="Tahoma"/>
            <family val="2"/>
          </rPr>
          <t>The Colour is dependent on the 
Fabric option selected. 
For a Day Night Blind, 
this Colour is for the 
Top Blind which can be either 
Blockout or Translucent.</t>
        </r>
      </text>
    </comment>
    <comment ref="H26" authorId="0" shapeId="0" xr:uid="{00000000-0006-0000-0600-0000FD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6" authorId="0" shapeId="0" xr:uid="{00000000-0006-0000-0600-0000FE00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26" authorId="0" shapeId="0" xr:uid="{00000000-0006-0000-0600-0000FF00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26" authorId="0" shapeId="0" xr:uid="{00000000-0006-0000-0600-000000010000}">
      <text>
        <r>
          <rPr>
            <sz val="8"/>
            <color indexed="81"/>
            <rFont val="Tahoma"/>
            <family val="2"/>
          </rPr>
          <t>When selecting a
Corner or Bay Window Type, 
the CMB Corner WS 
or CMB Bay WS 
must be completed.</t>
        </r>
      </text>
    </comment>
    <comment ref="M26" authorId="0" shapeId="0" xr:uid="{00000000-0006-0000-0600-000001010000}">
      <text>
        <r>
          <rPr>
            <sz val="8"/>
            <color indexed="81"/>
            <rFont val="Tahoma"/>
            <family val="2"/>
          </rPr>
          <t>ACT 
Actual Measurements
You have made the allowances.
NAM
No Allowances Made 
The factory will make the deductions.</t>
        </r>
      </text>
    </comment>
    <comment ref="O26" authorId="0" shapeId="0" xr:uid="{00000000-0006-0000-0600-00000201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26" authorId="0" shapeId="0" xr:uid="{00000000-0006-0000-0600-000003010000}">
      <text>
        <r>
          <rPr>
            <sz val="8"/>
            <color indexed="81"/>
            <rFont val="Tahoma"/>
            <family val="2"/>
          </rPr>
          <t>Motor Control options are;
Battery Operated Motor - Left Side Wand
Battery Operated Motor - Right Side Wand
Hardwired Motor - Left Side Wand
Hardwired Motor - Right Side Wand</t>
        </r>
      </text>
    </comment>
    <comment ref="Q26" authorId="0" shapeId="0" xr:uid="{00000000-0006-0000-0600-000004010000}">
      <text>
        <r>
          <rPr>
            <sz val="8"/>
            <color indexed="81"/>
            <rFont val="Tahoma"/>
            <family val="2"/>
          </rPr>
          <t>If the Blind m2 is 
oversized, then 
"Check Size" 
will be listed.</t>
        </r>
      </text>
    </comment>
    <comment ref="R26" authorId="0" shapeId="0" xr:uid="{00000000-0006-0000-0600-00000501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27" authorId="0" shapeId="0" xr:uid="{00000000-0006-0000-0600-00000601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27" authorId="0" shapeId="0" xr:uid="{00000000-0006-0000-0600-000007010000}">
      <text>
        <r>
          <rPr>
            <sz val="8"/>
            <color indexed="81"/>
            <rFont val="Tahoma"/>
            <family val="2"/>
          </rPr>
          <t>Product options are;
25mm Single Cellular Blind
38mm Single Cellular Blind
38mm Double Cellular Blind</t>
        </r>
      </text>
    </comment>
    <comment ref="F27" authorId="0" shapeId="0" xr:uid="{00000000-0006-0000-0600-000008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27" authorId="0" shapeId="0" xr:uid="{00000000-0006-0000-0600-000009010000}">
      <text>
        <r>
          <rPr>
            <sz val="8"/>
            <color indexed="81"/>
            <rFont val="Tahoma"/>
            <family val="2"/>
          </rPr>
          <t>The Colour is dependent on the 
Fabric option selected. 
For a Day Night Blind, 
this Colour is for the 
Top Blind which can be either 
Blockout or Translucent.</t>
        </r>
      </text>
    </comment>
    <comment ref="H27" authorId="0" shapeId="0" xr:uid="{00000000-0006-0000-0600-00000A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7" authorId="0" shapeId="0" xr:uid="{00000000-0006-0000-0600-00000B01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27" authorId="0" shapeId="0" xr:uid="{00000000-0006-0000-0600-00000C01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27" authorId="0" shapeId="0" xr:uid="{00000000-0006-0000-0600-00000D010000}">
      <text>
        <r>
          <rPr>
            <sz val="8"/>
            <color indexed="81"/>
            <rFont val="Tahoma"/>
            <family val="2"/>
          </rPr>
          <t>When selecting a
Corner or Bay Window Type, 
the CMB Corner WS 
or CMB Bay WS 
must be completed.</t>
        </r>
      </text>
    </comment>
    <comment ref="M27" authorId="0" shapeId="0" xr:uid="{00000000-0006-0000-0600-00000E010000}">
      <text>
        <r>
          <rPr>
            <sz val="8"/>
            <color indexed="81"/>
            <rFont val="Tahoma"/>
            <family val="2"/>
          </rPr>
          <t>ACT 
Actual Measurements
You have made the allowances.
NAM
No Allowances Made 
The factory will make the deductions.</t>
        </r>
      </text>
    </comment>
    <comment ref="O27" authorId="0" shapeId="0" xr:uid="{00000000-0006-0000-0600-00000F01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27" authorId="0" shapeId="0" xr:uid="{00000000-0006-0000-0600-000010010000}">
      <text>
        <r>
          <rPr>
            <sz val="8"/>
            <color indexed="81"/>
            <rFont val="Tahoma"/>
            <family val="2"/>
          </rPr>
          <t>Motor Control options are;
Battery Operated Motor - Left Side Wand
Battery Operated Motor - Right Side Wand
Hardwired Motor - Left Side Wand
Hardwired Motor - Right Side Wand</t>
        </r>
      </text>
    </comment>
    <comment ref="Q27" authorId="0" shapeId="0" xr:uid="{00000000-0006-0000-0600-000011010000}">
      <text>
        <r>
          <rPr>
            <sz val="8"/>
            <color indexed="81"/>
            <rFont val="Tahoma"/>
            <family val="2"/>
          </rPr>
          <t>If the Blind m2 is 
oversized, then 
"Check Size" 
will be listed.</t>
        </r>
      </text>
    </comment>
    <comment ref="R27" authorId="0" shapeId="0" xr:uid="{00000000-0006-0000-0600-00001201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28" authorId="0" shapeId="0" xr:uid="{00000000-0006-0000-0600-00001301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28" authorId="0" shapeId="0" xr:uid="{00000000-0006-0000-0600-000014010000}">
      <text>
        <r>
          <rPr>
            <sz val="8"/>
            <color indexed="81"/>
            <rFont val="Tahoma"/>
            <family val="2"/>
          </rPr>
          <t>Product options are;
25mm Single Cellular Blind
38mm Single Cellular Blind
38mm Double Cellular Blind</t>
        </r>
      </text>
    </comment>
    <comment ref="F28" authorId="0" shapeId="0" xr:uid="{00000000-0006-0000-0600-000015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28" authorId="0" shapeId="0" xr:uid="{00000000-0006-0000-0600-000016010000}">
      <text>
        <r>
          <rPr>
            <sz val="8"/>
            <color indexed="81"/>
            <rFont val="Tahoma"/>
            <family val="2"/>
          </rPr>
          <t>The Colour is dependent on the 
Fabric option selected. 
For a Day Night Blind, 
this Colour is for the 
Top Blind which can be either 
Blockout or Translucent.</t>
        </r>
      </text>
    </comment>
    <comment ref="H28" authorId="0" shapeId="0" xr:uid="{00000000-0006-0000-0600-000017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8" authorId="0" shapeId="0" xr:uid="{00000000-0006-0000-0600-00001801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28" authorId="0" shapeId="0" xr:uid="{00000000-0006-0000-0600-00001901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28" authorId="0" shapeId="0" xr:uid="{00000000-0006-0000-0600-00001A010000}">
      <text>
        <r>
          <rPr>
            <sz val="8"/>
            <color indexed="81"/>
            <rFont val="Tahoma"/>
            <family val="2"/>
          </rPr>
          <t>When selecting a
Corner or Bay Window Type, 
the CMB Corner WS 
or CMB Bay WS 
must be completed.</t>
        </r>
      </text>
    </comment>
    <comment ref="M28" authorId="0" shapeId="0" xr:uid="{00000000-0006-0000-0600-00001B010000}">
      <text>
        <r>
          <rPr>
            <sz val="8"/>
            <color indexed="81"/>
            <rFont val="Tahoma"/>
            <family val="2"/>
          </rPr>
          <t>ACT 
Actual Measurements
You have made the allowances.
NAM
No Allowances Made 
The factory will make the deductions.</t>
        </r>
      </text>
    </comment>
    <comment ref="O28" authorId="0" shapeId="0" xr:uid="{00000000-0006-0000-0600-00001C01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28" authorId="0" shapeId="0" xr:uid="{00000000-0006-0000-0600-00001D010000}">
      <text>
        <r>
          <rPr>
            <sz val="8"/>
            <color indexed="81"/>
            <rFont val="Tahoma"/>
            <family val="2"/>
          </rPr>
          <t>Motor Control options are;
Battery Operated Motor - Left Side Wand
Battery Operated Motor - Right Side Wand
Hardwired Motor - Left Side Wand
Hardwired Motor - Right Side Wand</t>
        </r>
      </text>
    </comment>
    <comment ref="Q28" authorId="0" shapeId="0" xr:uid="{00000000-0006-0000-0600-00001E010000}">
      <text>
        <r>
          <rPr>
            <sz val="8"/>
            <color indexed="81"/>
            <rFont val="Tahoma"/>
            <family val="2"/>
          </rPr>
          <t>If the Blind m2 is 
oversized, then 
"Check Size" 
will be listed.</t>
        </r>
      </text>
    </comment>
    <comment ref="R28" authorId="0" shapeId="0" xr:uid="{00000000-0006-0000-0600-00001F01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29" authorId="0" shapeId="0" xr:uid="{00000000-0006-0000-0600-00002001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29" authorId="0" shapeId="0" xr:uid="{00000000-0006-0000-0600-000021010000}">
      <text>
        <r>
          <rPr>
            <sz val="8"/>
            <color indexed="81"/>
            <rFont val="Tahoma"/>
            <family val="2"/>
          </rPr>
          <t>Product options are;
25mm Single Cellular Blind
38mm Single Cellular Blind
38mm Double Cellular Blind</t>
        </r>
      </text>
    </comment>
    <comment ref="F29" authorId="0" shapeId="0" xr:uid="{00000000-0006-0000-0600-000022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29" authorId="0" shapeId="0" xr:uid="{00000000-0006-0000-0600-000023010000}">
      <text>
        <r>
          <rPr>
            <sz val="8"/>
            <color indexed="81"/>
            <rFont val="Tahoma"/>
            <family val="2"/>
          </rPr>
          <t>The Colour is dependent on the 
Fabric option selected. 
For a Day Night Blind, 
this Colour is for the 
Top Blind which can be either 
Blockout or Translucent.</t>
        </r>
      </text>
    </comment>
    <comment ref="H29" authorId="0" shapeId="0" xr:uid="{00000000-0006-0000-0600-000024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9" authorId="0" shapeId="0" xr:uid="{00000000-0006-0000-0600-00002501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29" authorId="0" shapeId="0" xr:uid="{00000000-0006-0000-0600-00002601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29" authorId="0" shapeId="0" xr:uid="{00000000-0006-0000-0600-000027010000}">
      <text>
        <r>
          <rPr>
            <sz val="8"/>
            <color indexed="81"/>
            <rFont val="Tahoma"/>
            <family val="2"/>
          </rPr>
          <t>When selecting a
Corner or Bay Window Type, 
the CMB Corner WS 
or CMB Bay WS 
must be completed.</t>
        </r>
      </text>
    </comment>
    <comment ref="M29" authorId="0" shapeId="0" xr:uid="{00000000-0006-0000-0600-000028010000}">
      <text>
        <r>
          <rPr>
            <sz val="8"/>
            <color indexed="81"/>
            <rFont val="Tahoma"/>
            <family val="2"/>
          </rPr>
          <t>ACT 
Actual Measurements
You have made the allowances.
NAM
No Allowances Made 
The factory will make the deductions.</t>
        </r>
      </text>
    </comment>
    <comment ref="O29" authorId="0" shapeId="0" xr:uid="{00000000-0006-0000-0600-00002901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29" authorId="0" shapeId="0" xr:uid="{00000000-0006-0000-0600-00002A010000}">
      <text>
        <r>
          <rPr>
            <sz val="8"/>
            <color indexed="81"/>
            <rFont val="Tahoma"/>
            <family val="2"/>
          </rPr>
          <t>Motor Control options are;
Battery Operated Motor - Left Side Wand
Battery Operated Motor - Right Side Wand
Hardwired Motor - Left Side Wand
Hardwired Motor - Right Side Wand</t>
        </r>
      </text>
    </comment>
    <comment ref="Q29" authorId="0" shapeId="0" xr:uid="{00000000-0006-0000-0600-00002B010000}">
      <text>
        <r>
          <rPr>
            <sz val="8"/>
            <color indexed="81"/>
            <rFont val="Tahoma"/>
            <family val="2"/>
          </rPr>
          <t>If the Blind m2 is 
oversized, then 
"Check Size" 
will be listed.</t>
        </r>
      </text>
    </comment>
    <comment ref="R29" authorId="0" shapeId="0" xr:uid="{00000000-0006-0000-0600-00002C01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30" authorId="0" shapeId="0" xr:uid="{00000000-0006-0000-0600-00002D01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30" authorId="0" shapeId="0" xr:uid="{00000000-0006-0000-0600-00002E010000}">
      <text>
        <r>
          <rPr>
            <sz val="8"/>
            <color indexed="81"/>
            <rFont val="Tahoma"/>
            <family val="2"/>
          </rPr>
          <t>Product options are;
25mm Single Cellular Blind
38mm Single Cellular Blind
38mm Double Cellular Blind</t>
        </r>
      </text>
    </comment>
    <comment ref="F30" authorId="0" shapeId="0" xr:uid="{00000000-0006-0000-0600-00002F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30" authorId="0" shapeId="0" xr:uid="{00000000-0006-0000-0600-000030010000}">
      <text>
        <r>
          <rPr>
            <sz val="8"/>
            <color indexed="81"/>
            <rFont val="Tahoma"/>
            <family val="2"/>
          </rPr>
          <t>The Colour is dependent on the 
Fabric option selected. 
For a Day Night Blind, 
this Colour is for the 
Top Blind which can be either 
Blockout or Translucent.</t>
        </r>
      </text>
    </comment>
    <comment ref="H30" authorId="0" shapeId="0" xr:uid="{00000000-0006-0000-0600-000031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0" authorId="0" shapeId="0" xr:uid="{00000000-0006-0000-0600-00003201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30" authorId="0" shapeId="0" xr:uid="{00000000-0006-0000-0600-00003301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30" authorId="0" shapeId="0" xr:uid="{00000000-0006-0000-0600-000034010000}">
      <text>
        <r>
          <rPr>
            <sz val="8"/>
            <color indexed="81"/>
            <rFont val="Tahoma"/>
            <family val="2"/>
          </rPr>
          <t>When selecting a
Corner or Bay Window Type, 
the CMB Corner WS 
or CMB Bay WS 
must be completed.</t>
        </r>
      </text>
    </comment>
    <comment ref="M30" authorId="0" shapeId="0" xr:uid="{00000000-0006-0000-0600-000035010000}">
      <text>
        <r>
          <rPr>
            <sz val="8"/>
            <color indexed="81"/>
            <rFont val="Tahoma"/>
            <family val="2"/>
          </rPr>
          <t>ACT 
Actual Measurements
You have made the allowances.
NAM
No Allowances Made 
The factory will make the deductions.</t>
        </r>
      </text>
    </comment>
    <comment ref="O30" authorId="0" shapeId="0" xr:uid="{00000000-0006-0000-0600-00003601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30" authorId="0" shapeId="0" xr:uid="{00000000-0006-0000-0600-000037010000}">
      <text>
        <r>
          <rPr>
            <sz val="8"/>
            <color indexed="81"/>
            <rFont val="Tahoma"/>
            <family val="2"/>
          </rPr>
          <t>Motor Control options are;
Battery Operated Motor - Left Side Wand
Battery Operated Motor - Right Side Wand
Hardwired Motor - Left Side Wand
Hardwired Motor - Right Side Wand</t>
        </r>
      </text>
    </comment>
    <comment ref="Q30" authorId="0" shapeId="0" xr:uid="{00000000-0006-0000-0600-000038010000}">
      <text>
        <r>
          <rPr>
            <sz val="8"/>
            <color indexed="81"/>
            <rFont val="Tahoma"/>
            <family val="2"/>
          </rPr>
          <t>If the Blind m2 is 
oversized, then 
"Check Size" 
will be listed.</t>
        </r>
      </text>
    </comment>
    <comment ref="R30" authorId="0" shapeId="0" xr:uid="{00000000-0006-0000-0600-00003901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31" authorId="0" shapeId="0" xr:uid="{00000000-0006-0000-0600-00003A01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31" authorId="0" shapeId="0" xr:uid="{00000000-0006-0000-0600-00003B010000}">
      <text>
        <r>
          <rPr>
            <sz val="8"/>
            <color indexed="81"/>
            <rFont val="Tahoma"/>
            <family val="2"/>
          </rPr>
          <t>Product options are;
25mm Single Cellular Blind
38mm Single Cellular Blind
38mm Double Cellular Blind</t>
        </r>
      </text>
    </comment>
    <comment ref="F31" authorId="0" shapeId="0" xr:uid="{00000000-0006-0000-0600-00003C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31" authorId="0" shapeId="0" xr:uid="{00000000-0006-0000-0600-00003D010000}">
      <text>
        <r>
          <rPr>
            <sz val="8"/>
            <color indexed="81"/>
            <rFont val="Tahoma"/>
            <family val="2"/>
          </rPr>
          <t>The Colour is dependent on the 
Fabric option selected. 
For a Day Night Blind, 
this Colour is for the 
Top Blind which can be either 
Blockout or Translucent.</t>
        </r>
      </text>
    </comment>
    <comment ref="H31" authorId="0" shapeId="0" xr:uid="{00000000-0006-0000-0600-00003E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1" authorId="0" shapeId="0" xr:uid="{00000000-0006-0000-0600-00003F01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31" authorId="0" shapeId="0" xr:uid="{00000000-0006-0000-0600-00004001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31" authorId="0" shapeId="0" xr:uid="{00000000-0006-0000-0600-000041010000}">
      <text>
        <r>
          <rPr>
            <sz val="8"/>
            <color indexed="81"/>
            <rFont val="Tahoma"/>
            <family val="2"/>
          </rPr>
          <t>When selecting a
Corner or Bay Window Type, 
the CMB Corner WS 
or CMB Bay WS 
must be completed.</t>
        </r>
      </text>
    </comment>
    <comment ref="M31" authorId="0" shapeId="0" xr:uid="{00000000-0006-0000-0600-000042010000}">
      <text>
        <r>
          <rPr>
            <sz val="8"/>
            <color indexed="81"/>
            <rFont val="Tahoma"/>
            <family val="2"/>
          </rPr>
          <t>ACT 
Actual Measurements
You have made the allowances.
NAM
No Allowances Made 
The factory will make the deductions.</t>
        </r>
      </text>
    </comment>
    <comment ref="O31" authorId="0" shapeId="0" xr:uid="{00000000-0006-0000-0600-00004301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31" authorId="0" shapeId="0" xr:uid="{00000000-0006-0000-0600-000044010000}">
      <text>
        <r>
          <rPr>
            <sz val="8"/>
            <color indexed="81"/>
            <rFont val="Tahoma"/>
            <family val="2"/>
          </rPr>
          <t>Motor Control options are;
Battery Operated Motor - Left Side Wand
Battery Operated Motor - Right Side Wand
Hardwired Motor - Left Side Wand
Hardwired Motor - Right Side Wand</t>
        </r>
      </text>
    </comment>
    <comment ref="Q31" authorId="0" shapeId="0" xr:uid="{00000000-0006-0000-0600-000045010000}">
      <text>
        <r>
          <rPr>
            <sz val="8"/>
            <color indexed="81"/>
            <rFont val="Tahoma"/>
            <family val="2"/>
          </rPr>
          <t>If the Blind m2 is 
oversized, then 
"Check Size" 
will be listed.</t>
        </r>
      </text>
    </comment>
    <comment ref="R31" authorId="0" shapeId="0" xr:uid="{00000000-0006-0000-0600-00004601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32" authorId="0" shapeId="0" xr:uid="{00000000-0006-0000-0600-00004701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32" authorId="0" shapeId="0" xr:uid="{00000000-0006-0000-0600-000048010000}">
      <text>
        <r>
          <rPr>
            <sz val="8"/>
            <color indexed="81"/>
            <rFont val="Tahoma"/>
            <family val="2"/>
          </rPr>
          <t>Product options are;
25mm Single Cellular Blind
38mm Single Cellular Blind
38mm Double Cellular Blind</t>
        </r>
      </text>
    </comment>
    <comment ref="F32" authorId="0" shapeId="0" xr:uid="{00000000-0006-0000-0600-000049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32" authorId="0" shapeId="0" xr:uid="{00000000-0006-0000-0600-00004A010000}">
      <text>
        <r>
          <rPr>
            <sz val="8"/>
            <color indexed="81"/>
            <rFont val="Tahoma"/>
            <family val="2"/>
          </rPr>
          <t>The Colour is dependent on the 
Fabric option selected. 
For a Day Night Blind, 
this Colour is for the 
Top Blind which can be either 
Blockout or Translucent.</t>
        </r>
      </text>
    </comment>
    <comment ref="H32" authorId="0" shapeId="0" xr:uid="{00000000-0006-0000-0600-00004B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2" authorId="0" shapeId="0" xr:uid="{00000000-0006-0000-0600-00004C01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32" authorId="0" shapeId="0" xr:uid="{00000000-0006-0000-0600-00004D01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32" authorId="0" shapeId="0" xr:uid="{00000000-0006-0000-0600-00004E010000}">
      <text>
        <r>
          <rPr>
            <sz val="8"/>
            <color indexed="81"/>
            <rFont val="Tahoma"/>
            <family val="2"/>
          </rPr>
          <t>When selecting a
Corner or Bay Window Type, 
the CMB Corner WS 
or CMB Bay WS 
must be completed.</t>
        </r>
      </text>
    </comment>
    <comment ref="M32" authorId="0" shapeId="0" xr:uid="{00000000-0006-0000-0600-00004F010000}">
      <text>
        <r>
          <rPr>
            <sz val="8"/>
            <color indexed="81"/>
            <rFont val="Tahoma"/>
            <family val="2"/>
          </rPr>
          <t>ACT 
Actual Measurements
You have made the allowances.
NAM
No Allowances Made 
The factory will make the deductions.</t>
        </r>
      </text>
    </comment>
    <comment ref="O32" authorId="0" shapeId="0" xr:uid="{00000000-0006-0000-0600-00005001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32" authorId="0" shapeId="0" xr:uid="{00000000-0006-0000-0600-000051010000}">
      <text>
        <r>
          <rPr>
            <sz val="8"/>
            <color indexed="81"/>
            <rFont val="Tahoma"/>
            <family val="2"/>
          </rPr>
          <t>Motor Control options are;
Battery Operated Motor - Left Side Wand
Battery Operated Motor - Right Side Wand
Hardwired Motor - Left Side Wand
Hardwired Motor - Right Side Wand</t>
        </r>
      </text>
    </comment>
    <comment ref="Q32" authorId="0" shapeId="0" xr:uid="{00000000-0006-0000-0600-000052010000}">
      <text>
        <r>
          <rPr>
            <sz val="8"/>
            <color indexed="81"/>
            <rFont val="Tahoma"/>
            <family val="2"/>
          </rPr>
          <t>If the Blind m2 is 
oversized, then 
"Check Size" 
will be listed.</t>
        </r>
      </text>
    </comment>
    <comment ref="R32" authorId="0" shapeId="0" xr:uid="{00000000-0006-0000-0600-00005301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33" authorId="0" shapeId="0" xr:uid="{00000000-0006-0000-0600-00005401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33" authorId="0" shapeId="0" xr:uid="{00000000-0006-0000-0600-000055010000}">
      <text>
        <r>
          <rPr>
            <sz val="8"/>
            <color indexed="81"/>
            <rFont val="Tahoma"/>
            <family val="2"/>
          </rPr>
          <t>Product options are;
25mm Single Cellular Blind
38mm Single Cellular Blind
38mm Double Cellular Blind</t>
        </r>
      </text>
    </comment>
    <comment ref="F33" authorId="0" shapeId="0" xr:uid="{00000000-0006-0000-0600-000056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33" authorId="0" shapeId="0" xr:uid="{00000000-0006-0000-0600-000057010000}">
      <text>
        <r>
          <rPr>
            <sz val="8"/>
            <color indexed="81"/>
            <rFont val="Tahoma"/>
            <family val="2"/>
          </rPr>
          <t>The Colour is dependent on the 
Fabric option selected. 
For a Day Night Blind, 
this Colour is for the 
Top Blind which can be either 
Blockout or Translucent.</t>
        </r>
      </text>
    </comment>
    <comment ref="H33" authorId="0" shapeId="0" xr:uid="{00000000-0006-0000-0600-000058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3" authorId="0" shapeId="0" xr:uid="{00000000-0006-0000-0600-00005901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33" authorId="0" shapeId="0" xr:uid="{00000000-0006-0000-0600-00005A01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33" authorId="0" shapeId="0" xr:uid="{00000000-0006-0000-0600-00005B010000}">
      <text>
        <r>
          <rPr>
            <sz val="8"/>
            <color indexed="81"/>
            <rFont val="Tahoma"/>
            <family val="2"/>
          </rPr>
          <t>When selecting a
Corner or Bay Window Type, 
the CMB Corner WS 
or CMB Bay WS 
must be completed.</t>
        </r>
      </text>
    </comment>
    <comment ref="M33" authorId="0" shapeId="0" xr:uid="{00000000-0006-0000-0600-00005C010000}">
      <text>
        <r>
          <rPr>
            <sz val="8"/>
            <color indexed="81"/>
            <rFont val="Tahoma"/>
            <family val="2"/>
          </rPr>
          <t>ACT 
Actual Measurements
You have made the allowances.
NAM
No Allowances Made 
The factory will make the deductions.</t>
        </r>
      </text>
    </comment>
    <comment ref="O33" authorId="0" shapeId="0" xr:uid="{00000000-0006-0000-0600-00005D01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33" authorId="0" shapeId="0" xr:uid="{00000000-0006-0000-0600-00005E010000}">
      <text>
        <r>
          <rPr>
            <sz val="8"/>
            <color indexed="81"/>
            <rFont val="Tahoma"/>
            <family val="2"/>
          </rPr>
          <t>Motor Control options are;
Battery Operated Motor - Left Side Wand
Battery Operated Motor - Right Side Wand
Hardwired Motor - Left Side Wand
Hardwired Motor - Right Side Wand</t>
        </r>
      </text>
    </comment>
    <comment ref="Q33" authorId="0" shapeId="0" xr:uid="{00000000-0006-0000-0600-00005F010000}">
      <text>
        <r>
          <rPr>
            <sz val="8"/>
            <color indexed="81"/>
            <rFont val="Tahoma"/>
            <family val="2"/>
          </rPr>
          <t>If the Blind m2 is 
oversized, then 
"Check Size" 
will be listed.</t>
        </r>
      </text>
    </comment>
    <comment ref="R33" authorId="0" shapeId="0" xr:uid="{00000000-0006-0000-0600-00006001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34" authorId="0" shapeId="0" xr:uid="{00000000-0006-0000-0600-00006101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34" authorId="0" shapeId="0" xr:uid="{00000000-0006-0000-0600-000062010000}">
      <text>
        <r>
          <rPr>
            <sz val="8"/>
            <color indexed="81"/>
            <rFont val="Tahoma"/>
            <family val="2"/>
          </rPr>
          <t>Product options are;
25mm Single Cellular Blind
38mm Single Cellular Blind
38mm Double Cellular Blind</t>
        </r>
      </text>
    </comment>
    <comment ref="F34" authorId="0" shapeId="0" xr:uid="{00000000-0006-0000-0600-000063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34" authorId="0" shapeId="0" xr:uid="{00000000-0006-0000-0600-000064010000}">
      <text>
        <r>
          <rPr>
            <sz val="8"/>
            <color indexed="81"/>
            <rFont val="Tahoma"/>
            <family val="2"/>
          </rPr>
          <t>The Colour is dependent on the 
Fabric option selected. 
For a Day Night Blind, 
this Colour is for the 
Top Blind which can be either 
Blockout or Translucent.</t>
        </r>
      </text>
    </comment>
    <comment ref="H34" authorId="0" shapeId="0" xr:uid="{00000000-0006-0000-0600-000065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4" authorId="0" shapeId="0" xr:uid="{00000000-0006-0000-0600-00006601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34" authorId="0" shapeId="0" xr:uid="{00000000-0006-0000-0600-00006701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34" authorId="0" shapeId="0" xr:uid="{00000000-0006-0000-0600-000068010000}">
      <text>
        <r>
          <rPr>
            <sz val="8"/>
            <color indexed="81"/>
            <rFont val="Tahoma"/>
            <family val="2"/>
          </rPr>
          <t>When selecting a
Corner or Bay Window Type, 
the CMB Corner WS 
or CMB Bay WS 
must be completed.</t>
        </r>
      </text>
    </comment>
    <comment ref="M34" authorId="0" shapeId="0" xr:uid="{00000000-0006-0000-0600-000069010000}">
      <text>
        <r>
          <rPr>
            <sz val="8"/>
            <color indexed="81"/>
            <rFont val="Tahoma"/>
            <family val="2"/>
          </rPr>
          <t>ACT 
Actual Measurements
You have made the allowances.
NAM
No Allowances Made 
The factory will make the deductions.</t>
        </r>
      </text>
    </comment>
    <comment ref="O34" authorId="0" shapeId="0" xr:uid="{00000000-0006-0000-0600-00006A01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34" authorId="0" shapeId="0" xr:uid="{00000000-0006-0000-0600-00006B010000}">
      <text>
        <r>
          <rPr>
            <sz val="8"/>
            <color indexed="81"/>
            <rFont val="Tahoma"/>
            <family val="2"/>
          </rPr>
          <t>Motor Control options are;
Battery Operated Motor - Left Side Wand
Battery Operated Motor - Right Side Wand
Hardwired Motor - Left Side Wand
Hardwired Motor - Right Side Wand</t>
        </r>
      </text>
    </comment>
    <comment ref="Q34" authorId="0" shapeId="0" xr:uid="{00000000-0006-0000-0600-00006C010000}">
      <text>
        <r>
          <rPr>
            <sz val="8"/>
            <color indexed="81"/>
            <rFont val="Tahoma"/>
            <family val="2"/>
          </rPr>
          <t>If the Blind m2 is 
oversized, then 
"Check Size" 
will be listed.</t>
        </r>
      </text>
    </comment>
    <comment ref="R34" authorId="0" shapeId="0" xr:uid="{00000000-0006-0000-0600-00006D01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35" authorId="0" shapeId="0" xr:uid="{00000000-0006-0000-0600-00006E01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35" authorId="0" shapeId="0" xr:uid="{00000000-0006-0000-0600-00006F010000}">
      <text>
        <r>
          <rPr>
            <sz val="8"/>
            <color indexed="81"/>
            <rFont val="Tahoma"/>
            <family val="2"/>
          </rPr>
          <t>Product options are;
25mm Single Cellular Blind
38mm Single Cellular Blind
38mm Double Cellular Blind</t>
        </r>
      </text>
    </comment>
    <comment ref="F35" authorId="0" shapeId="0" xr:uid="{00000000-0006-0000-0600-000070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35" authorId="0" shapeId="0" xr:uid="{00000000-0006-0000-0600-000071010000}">
      <text>
        <r>
          <rPr>
            <sz val="8"/>
            <color indexed="81"/>
            <rFont val="Tahoma"/>
            <family val="2"/>
          </rPr>
          <t>The Colour is dependent on the 
Fabric option selected. 
For a Day Night Blind, 
this Colour is for the 
Top Blind which can be either 
Blockout or Translucent.</t>
        </r>
      </text>
    </comment>
    <comment ref="H35" authorId="0" shapeId="0" xr:uid="{00000000-0006-0000-0600-000072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5" authorId="0" shapeId="0" xr:uid="{00000000-0006-0000-0600-00007301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35" authorId="0" shapeId="0" xr:uid="{00000000-0006-0000-0600-00007401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35" authorId="0" shapeId="0" xr:uid="{00000000-0006-0000-0600-000075010000}">
      <text>
        <r>
          <rPr>
            <sz val="8"/>
            <color indexed="81"/>
            <rFont val="Tahoma"/>
            <family val="2"/>
          </rPr>
          <t>When selecting a
Corner or Bay Window Type, 
the CMB Corner WS 
or CMB Bay WS 
must be completed.</t>
        </r>
      </text>
    </comment>
    <comment ref="M35" authorId="0" shapeId="0" xr:uid="{00000000-0006-0000-0600-000076010000}">
      <text>
        <r>
          <rPr>
            <sz val="8"/>
            <color indexed="81"/>
            <rFont val="Tahoma"/>
            <family val="2"/>
          </rPr>
          <t>ACT 
Actual Measurements
You have made the allowances.
NAM
No Allowances Made 
The factory will make the deductions.</t>
        </r>
      </text>
    </comment>
    <comment ref="O35" authorId="0" shapeId="0" xr:uid="{00000000-0006-0000-0600-00007701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35" authorId="0" shapeId="0" xr:uid="{00000000-0006-0000-0600-000078010000}">
      <text>
        <r>
          <rPr>
            <sz val="8"/>
            <color indexed="81"/>
            <rFont val="Tahoma"/>
            <family val="2"/>
          </rPr>
          <t>Motor Control options are;
Battery Operated Motor - Left Side Wand
Battery Operated Motor - Right Side Wand
Hardwired Motor - Left Side Wand
Hardwired Motor - Right Side Wand</t>
        </r>
      </text>
    </comment>
    <comment ref="Q35" authorId="0" shapeId="0" xr:uid="{00000000-0006-0000-0600-000079010000}">
      <text>
        <r>
          <rPr>
            <sz val="8"/>
            <color indexed="81"/>
            <rFont val="Tahoma"/>
            <family val="2"/>
          </rPr>
          <t>If the Blind m2 is 
oversized, then 
"Check Size" 
will be listed.</t>
        </r>
      </text>
    </comment>
    <comment ref="R35" authorId="0" shapeId="0" xr:uid="{00000000-0006-0000-0600-00007A01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36" authorId="0" shapeId="0" xr:uid="{00000000-0006-0000-0600-00007B01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36" authorId="0" shapeId="0" xr:uid="{00000000-0006-0000-0600-00007C010000}">
      <text>
        <r>
          <rPr>
            <sz val="8"/>
            <color indexed="81"/>
            <rFont val="Tahoma"/>
            <family val="2"/>
          </rPr>
          <t>Product options are;
25mm Single Cellular Blind
38mm Single Cellular Blind
38mm Double Cellular Blind</t>
        </r>
      </text>
    </comment>
    <comment ref="F36" authorId="0" shapeId="0" xr:uid="{00000000-0006-0000-0600-00007D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36" authorId="0" shapeId="0" xr:uid="{00000000-0006-0000-0600-00007E010000}">
      <text>
        <r>
          <rPr>
            <sz val="8"/>
            <color indexed="81"/>
            <rFont val="Tahoma"/>
            <family val="2"/>
          </rPr>
          <t>The Colour is dependent on the 
Fabric option selected. 
For a Day Night Blind, 
this Colour is for the 
Top Blind which can be either 
Blockout or Translucent.</t>
        </r>
      </text>
    </comment>
    <comment ref="H36" authorId="0" shapeId="0" xr:uid="{00000000-0006-0000-0600-00007F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6" authorId="0" shapeId="0" xr:uid="{00000000-0006-0000-0600-00008001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36" authorId="0" shapeId="0" xr:uid="{00000000-0006-0000-0600-00008101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36" authorId="0" shapeId="0" xr:uid="{00000000-0006-0000-0600-000082010000}">
      <text>
        <r>
          <rPr>
            <sz val="8"/>
            <color indexed="81"/>
            <rFont val="Tahoma"/>
            <family val="2"/>
          </rPr>
          <t>When selecting a
Corner or Bay Window Type, 
the CMB Corner WS 
or CMB Bay WS 
must be completed.</t>
        </r>
      </text>
    </comment>
    <comment ref="M36" authorId="0" shapeId="0" xr:uid="{00000000-0006-0000-0600-000083010000}">
      <text>
        <r>
          <rPr>
            <sz val="8"/>
            <color indexed="81"/>
            <rFont val="Tahoma"/>
            <family val="2"/>
          </rPr>
          <t>ACT 
Actual Measurements
You have made the allowances.
NAM
No Allowances Made 
The factory will make the deductions.</t>
        </r>
      </text>
    </comment>
    <comment ref="O36" authorId="0" shapeId="0" xr:uid="{00000000-0006-0000-0600-00008401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36" authorId="0" shapeId="0" xr:uid="{00000000-0006-0000-0600-000085010000}">
      <text>
        <r>
          <rPr>
            <sz val="8"/>
            <color indexed="81"/>
            <rFont val="Tahoma"/>
            <family val="2"/>
          </rPr>
          <t>Motor Control options are;
Battery Operated Motor - Left Side Wand
Battery Operated Motor - Right Side Wand
Hardwired Motor - Left Side Wand
Hardwired Motor - Right Side Wand</t>
        </r>
      </text>
    </comment>
    <comment ref="Q36" authorId="0" shapeId="0" xr:uid="{00000000-0006-0000-0600-000086010000}">
      <text>
        <r>
          <rPr>
            <sz val="8"/>
            <color indexed="81"/>
            <rFont val="Tahoma"/>
            <family val="2"/>
          </rPr>
          <t>If the Blind m2 is 
oversized, then 
"Check Size" 
will be listed.</t>
        </r>
      </text>
    </comment>
    <comment ref="R36" authorId="0" shapeId="0" xr:uid="{00000000-0006-0000-0600-00008701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37" authorId="0" shapeId="0" xr:uid="{00000000-0006-0000-0600-00008801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37" authorId="0" shapeId="0" xr:uid="{00000000-0006-0000-0600-000089010000}">
      <text>
        <r>
          <rPr>
            <sz val="8"/>
            <color indexed="81"/>
            <rFont val="Tahoma"/>
            <family val="2"/>
          </rPr>
          <t>Product options are;
25mm Single Cellular Blind
38mm Single Cellular Blind
38mm Double Cellular Blind</t>
        </r>
      </text>
    </comment>
    <comment ref="F37" authorId="0" shapeId="0" xr:uid="{00000000-0006-0000-0600-00008A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37" authorId="0" shapeId="0" xr:uid="{00000000-0006-0000-0600-00008B010000}">
      <text>
        <r>
          <rPr>
            <sz val="8"/>
            <color indexed="81"/>
            <rFont val="Tahoma"/>
            <family val="2"/>
          </rPr>
          <t>The Colour is dependent on the 
Fabric option selected. 
For a Day Night Blind, 
this Colour is for the 
Top Blind which can be either 
Blockout or Translucent.</t>
        </r>
      </text>
    </comment>
    <comment ref="H37" authorId="0" shapeId="0" xr:uid="{00000000-0006-0000-0600-00008C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7" authorId="0" shapeId="0" xr:uid="{00000000-0006-0000-0600-00008D01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37" authorId="0" shapeId="0" xr:uid="{00000000-0006-0000-0600-00008E01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37" authorId="0" shapeId="0" xr:uid="{00000000-0006-0000-0600-00008F010000}">
      <text>
        <r>
          <rPr>
            <sz val="8"/>
            <color indexed="81"/>
            <rFont val="Tahoma"/>
            <family val="2"/>
          </rPr>
          <t>When selecting a
Corner or Bay Window Type, 
the CMB Corner WS 
or CMB Bay WS 
must be completed.</t>
        </r>
      </text>
    </comment>
    <comment ref="M37" authorId="0" shapeId="0" xr:uid="{00000000-0006-0000-0600-000090010000}">
      <text>
        <r>
          <rPr>
            <sz val="8"/>
            <color indexed="81"/>
            <rFont val="Tahoma"/>
            <family val="2"/>
          </rPr>
          <t>ACT 
Actual Measurements
You have made the allowances.
NAM
No Allowances Made 
The factory will make the deductions.</t>
        </r>
      </text>
    </comment>
    <comment ref="O37" authorId="0" shapeId="0" xr:uid="{00000000-0006-0000-0600-00009101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37" authorId="0" shapeId="0" xr:uid="{00000000-0006-0000-0600-000092010000}">
      <text>
        <r>
          <rPr>
            <sz val="8"/>
            <color indexed="81"/>
            <rFont val="Tahoma"/>
            <family val="2"/>
          </rPr>
          <t>Motor Control options are;
Battery Operated Motor - Left Side Wand
Battery Operated Motor - Right Side Wand
Hardwired Motor - Left Side Wand
Hardwired Motor - Right Side Wand</t>
        </r>
      </text>
    </comment>
    <comment ref="Q37" authorId="0" shapeId="0" xr:uid="{00000000-0006-0000-0600-000093010000}">
      <text>
        <r>
          <rPr>
            <sz val="8"/>
            <color indexed="81"/>
            <rFont val="Tahoma"/>
            <family val="2"/>
          </rPr>
          <t>If the Blind m2 is 
oversized, then 
"Check Size" 
will be listed.</t>
        </r>
      </text>
    </comment>
    <comment ref="R37" authorId="0" shapeId="0" xr:uid="{00000000-0006-0000-0600-00009401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38" authorId="0" shapeId="0" xr:uid="{00000000-0006-0000-0600-00009501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38" authorId="0" shapeId="0" xr:uid="{00000000-0006-0000-0600-000096010000}">
      <text>
        <r>
          <rPr>
            <sz val="8"/>
            <color indexed="81"/>
            <rFont val="Tahoma"/>
            <family val="2"/>
          </rPr>
          <t>Product options are;
25mm Single Cellular Blind
38mm Single Cellular Blind
38mm Double Cellular Blind</t>
        </r>
      </text>
    </comment>
    <comment ref="F38" authorId="0" shapeId="0" xr:uid="{00000000-0006-0000-0600-000097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38" authorId="0" shapeId="0" xr:uid="{00000000-0006-0000-0600-000098010000}">
      <text>
        <r>
          <rPr>
            <sz val="8"/>
            <color indexed="81"/>
            <rFont val="Tahoma"/>
            <family val="2"/>
          </rPr>
          <t>The Colour is dependent on the 
Fabric option selected. 
For a Day Night Blind, 
this Colour is for the 
Top Blind which can be either 
Blockout or Translucent.</t>
        </r>
      </text>
    </comment>
    <comment ref="H38" authorId="0" shapeId="0" xr:uid="{00000000-0006-0000-0600-000099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8" authorId="0" shapeId="0" xr:uid="{00000000-0006-0000-0600-00009A01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38" authorId="0" shapeId="0" xr:uid="{00000000-0006-0000-0600-00009B01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38" authorId="0" shapeId="0" xr:uid="{00000000-0006-0000-0600-00009C010000}">
      <text>
        <r>
          <rPr>
            <sz val="8"/>
            <color indexed="81"/>
            <rFont val="Tahoma"/>
            <family val="2"/>
          </rPr>
          <t>When selecting a
Corner or Bay Window Type, 
the CMB Corner WS 
or CMB Bay WS 
must be completed.</t>
        </r>
      </text>
    </comment>
    <comment ref="M38" authorId="0" shapeId="0" xr:uid="{00000000-0006-0000-0600-00009D010000}">
      <text>
        <r>
          <rPr>
            <sz val="8"/>
            <color indexed="81"/>
            <rFont val="Tahoma"/>
            <family val="2"/>
          </rPr>
          <t>ACT 
Actual Measurements
You have made the allowances.
NAM
No Allowances Made 
The factory will make the deductions.</t>
        </r>
      </text>
    </comment>
    <comment ref="O38" authorId="0" shapeId="0" xr:uid="{00000000-0006-0000-0600-00009E01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38" authorId="0" shapeId="0" xr:uid="{00000000-0006-0000-0600-00009F010000}">
      <text>
        <r>
          <rPr>
            <sz val="8"/>
            <color indexed="81"/>
            <rFont val="Tahoma"/>
            <family val="2"/>
          </rPr>
          <t>Motor Control options are;
Battery Operated Motor - Left Side Wand
Battery Operated Motor - Right Side Wand
Hardwired Motor - Left Side Wand
Hardwired Motor - Right Side Wand</t>
        </r>
      </text>
    </comment>
    <comment ref="Q38" authorId="0" shapeId="0" xr:uid="{00000000-0006-0000-0600-0000A0010000}">
      <text>
        <r>
          <rPr>
            <sz val="8"/>
            <color indexed="81"/>
            <rFont val="Tahoma"/>
            <family val="2"/>
          </rPr>
          <t>If the Blind m2 is 
oversized, then 
"Check Size" 
will be listed.</t>
        </r>
      </text>
    </comment>
    <comment ref="R38" authorId="0" shapeId="0" xr:uid="{00000000-0006-0000-0600-0000A101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39" authorId="0" shapeId="0" xr:uid="{00000000-0006-0000-0600-0000A201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39" authorId="0" shapeId="0" xr:uid="{00000000-0006-0000-0600-0000A3010000}">
      <text>
        <r>
          <rPr>
            <sz val="8"/>
            <color indexed="81"/>
            <rFont val="Tahoma"/>
            <family val="2"/>
          </rPr>
          <t>Product options are;
25mm Single Cellular Blind
38mm Single Cellular Blind
38mm Double Cellular Blind</t>
        </r>
      </text>
    </comment>
    <comment ref="F39" authorId="0" shapeId="0" xr:uid="{00000000-0006-0000-0600-0000A4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39" authorId="0" shapeId="0" xr:uid="{00000000-0006-0000-0600-0000A5010000}">
      <text>
        <r>
          <rPr>
            <sz val="8"/>
            <color indexed="81"/>
            <rFont val="Tahoma"/>
            <family val="2"/>
          </rPr>
          <t>The Colour is dependent on the 
Fabric option selected. 
For a Day Night Blind, 
this Colour is for the 
Top Blind which can be either 
Blockout or Translucent.</t>
        </r>
      </text>
    </comment>
    <comment ref="H39" authorId="0" shapeId="0" xr:uid="{00000000-0006-0000-0600-0000A6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9" authorId="0" shapeId="0" xr:uid="{00000000-0006-0000-0600-0000A701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39" authorId="0" shapeId="0" xr:uid="{00000000-0006-0000-0600-0000A801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39" authorId="0" shapeId="0" xr:uid="{00000000-0006-0000-0600-0000A9010000}">
      <text>
        <r>
          <rPr>
            <sz val="8"/>
            <color indexed="81"/>
            <rFont val="Tahoma"/>
            <family val="2"/>
          </rPr>
          <t>When selecting a
Corner or Bay Window Type, 
the CMB Corner WS 
or CMB Bay WS 
must be completed.</t>
        </r>
      </text>
    </comment>
    <comment ref="M39" authorId="0" shapeId="0" xr:uid="{00000000-0006-0000-0600-0000AA010000}">
      <text>
        <r>
          <rPr>
            <sz val="8"/>
            <color indexed="81"/>
            <rFont val="Tahoma"/>
            <family val="2"/>
          </rPr>
          <t>ACT 
Actual Measurements
You have made the allowances.
NAM
No Allowances Made 
The factory will make the deductions.</t>
        </r>
      </text>
    </comment>
    <comment ref="O39" authorId="0" shapeId="0" xr:uid="{00000000-0006-0000-0600-0000AB01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39" authorId="0" shapeId="0" xr:uid="{00000000-0006-0000-0600-0000AC010000}">
      <text>
        <r>
          <rPr>
            <sz val="8"/>
            <color indexed="81"/>
            <rFont val="Tahoma"/>
            <family val="2"/>
          </rPr>
          <t>Motor Control options are;
Battery Operated Motor - Left Side Wand
Battery Operated Motor - Right Side Wand
Hardwired Motor - Left Side Wand
Hardwired Motor - Right Side Wand</t>
        </r>
      </text>
    </comment>
    <comment ref="Q39" authorId="0" shapeId="0" xr:uid="{00000000-0006-0000-0600-0000AD010000}">
      <text>
        <r>
          <rPr>
            <sz val="8"/>
            <color indexed="81"/>
            <rFont val="Tahoma"/>
            <family val="2"/>
          </rPr>
          <t>If the Blind m2 is 
oversized, then 
"Check Size" 
will be listed.</t>
        </r>
      </text>
    </comment>
    <comment ref="R39" authorId="0" shapeId="0" xr:uid="{00000000-0006-0000-0600-0000AE01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40" authorId="0" shapeId="0" xr:uid="{00000000-0006-0000-0600-0000AF01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40" authorId="0" shapeId="0" xr:uid="{00000000-0006-0000-0600-0000B0010000}">
      <text>
        <r>
          <rPr>
            <sz val="8"/>
            <color indexed="81"/>
            <rFont val="Tahoma"/>
            <family val="2"/>
          </rPr>
          <t>Product options are;
25mm Single Cellular Blind
38mm Single Cellular Blind
38mm Double Cellular Blind</t>
        </r>
      </text>
    </comment>
    <comment ref="F40" authorId="0" shapeId="0" xr:uid="{00000000-0006-0000-0600-0000B1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40" authorId="0" shapeId="0" xr:uid="{00000000-0006-0000-0600-0000B2010000}">
      <text>
        <r>
          <rPr>
            <sz val="8"/>
            <color indexed="81"/>
            <rFont val="Tahoma"/>
            <family val="2"/>
          </rPr>
          <t>The Colour is dependent on the 
Fabric option selected. 
For a Day Night Blind, 
this Colour is for the 
Top Blind which can be either 
Blockout or Translucent.</t>
        </r>
      </text>
    </comment>
    <comment ref="H40" authorId="0" shapeId="0" xr:uid="{00000000-0006-0000-0600-0000B3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0" authorId="0" shapeId="0" xr:uid="{00000000-0006-0000-0600-0000B401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40" authorId="0" shapeId="0" xr:uid="{00000000-0006-0000-0600-0000B501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40" authorId="0" shapeId="0" xr:uid="{00000000-0006-0000-0600-0000B6010000}">
      <text>
        <r>
          <rPr>
            <sz val="8"/>
            <color indexed="81"/>
            <rFont val="Tahoma"/>
            <family val="2"/>
          </rPr>
          <t>When selecting a
Corner or Bay Window Type, 
the CMB Corner WS 
or CMB Bay WS 
must be completed.</t>
        </r>
      </text>
    </comment>
    <comment ref="M40" authorId="0" shapeId="0" xr:uid="{00000000-0006-0000-0600-0000B7010000}">
      <text>
        <r>
          <rPr>
            <sz val="8"/>
            <color indexed="81"/>
            <rFont val="Tahoma"/>
            <family val="2"/>
          </rPr>
          <t>ACT 
Actual Measurements
You have made the allowances.
NAM
No Allowances Made 
The factory will make the deductions.</t>
        </r>
      </text>
    </comment>
    <comment ref="O40" authorId="0" shapeId="0" xr:uid="{00000000-0006-0000-0600-0000B801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40" authorId="0" shapeId="0" xr:uid="{00000000-0006-0000-0600-0000B9010000}">
      <text>
        <r>
          <rPr>
            <sz val="8"/>
            <color indexed="81"/>
            <rFont val="Tahoma"/>
            <family val="2"/>
          </rPr>
          <t>Motor Control options are;
Battery Operated Motor - Left Side Wand
Battery Operated Motor - Right Side Wand
Hardwired Motor - Left Side Wand
Hardwired Motor - Right Side Wand</t>
        </r>
      </text>
    </comment>
    <comment ref="Q40" authorId="0" shapeId="0" xr:uid="{00000000-0006-0000-0600-0000BA010000}">
      <text>
        <r>
          <rPr>
            <sz val="8"/>
            <color indexed="81"/>
            <rFont val="Tahoma"/>
            <family val="2"/>
          </rPr>
          <t>If the Blind m2 is 
oversized, then 
"Check Size" 
will be listed.</t>
        </r>
      </text>
    </comment>
    <comment ref="R40" authorId="0" shapeId="0" xr:uid="{00000000-0006-0000-0600-0000BB01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41" authorId="0" shapeId="0" xr:uid="{00000000-0006-0000-0600-0000BC01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41" authorId="0" shapeId="0" xr:uid="{00000000-0006-0000-0600-0000BD010000}">
      <text>
        <r>
          <rPr>
            <sz val="8"/>
            <color indexed="81"/>
            <rFont val="Tahoma"/>
            <family val="2"/>
          </rPr>
          <t>Product options are;
25mm Single Cellular Blind
38mm Single Cellular Blind
38mm Double Cellular Blind</t>
        </r>
      </text>
    </comment>
    <comment ref="F41" authorId="0" shapeId="0" xr:uid="{00000000-0006-0000-0600-0000BE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41" authorId="0" shapeId="0" xr:uid="{00000000-0006-0000-0600-0000BF010000}">
      <text>
        <r>
          <rPr>
            <sz val="8"/>
            <color indexed="81"/>
            <rFont val="Tahoma"/>
            <family val="2"/>
          </rPr>
          <t>The Colour is dependent on the 
Fabric option selected. 
For a Day Night Blind, 
this Colour is for the 
Top Blind which can be either 
Blockout or Translucent.</t>
        </r>
      </text>
    </comment>
    <comment ref="H41" authorId="0" shapeId="0" xr:uid="{00000000-0006-0000-0600-0000C0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1" authorId="0" shapeId="0" xr:uid="{00000000-0006-0000-0600-0000C101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41" authorId="0" shapeId="0" xr:uid="{00000000-0006-0000-0600-0000C201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41" authorId="0" shapeId="0" xr:uid="{00000000-0006-0000-0600-0000C3010000}">
      <text>
        <r>
          <rPr>
            <sz val="8"/>
            <color indexed="81"/>
            <rFont val="Tahoma"/>
            <family val="2"/>
          </rPr>
          <t>When selecting a
Corner or Bay Window Type, 
the CMB Corner WS 
or CMB Bay WS 
must be completed.</t>
        </r>
      </text>
    </comment>
    <comment ref="M41" authorId="0" shapeId="0" xr:uid="{00000000-0006-0000-0600-0000C4010000}">
      <text>
        <r>
          <rPr>
            <sz val="8"/>
            <color indexed="81"/>
            <rFont val="Tahoma"/>
            <family val="2"/>
          </rPr>
          <t>ACT 
Actual Measurements
You have made the allowances.
NAM
No Allowances Made 
The factory will make the deductions.</t>
        </r>
      </text>
    </comment>
    <comment ref="O41" authorId="0" shapeId="0" xr:uid="{00000000-0006-0000-0600-0000C501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41" authorId="0" shapeId="0" xr:uid="{00000000-0006-0000-0600-0000C6010000}">
      <text>
        <r>
          <rPr>
            <sz val="8"/>
            <color indexed="81"/>
            <rFont val="Tahoma"/>
            <family val="2"/>
          </rPr>
          <t>Motor Control options are;
Battery Operated Motor - Left Side Wand
Battery Operated Motor - Right Side Wand
Hardwired Motor - Left Side Wand
Hardwired Motor - Right Side Wand</t>
        </r>
      </text>
    </comment>
    <comment ref="Q41" authorId="0" shapeId="0" xr:uid="{00000000-0006-0000-0600-0000C7010000}">
      <text>
        <r>
          <rPr>
            <sz val="8"/>
            <color indexed="81"/>
            <rFont val="Tahoma"/>
            <family val="2"/>
          </rPr>
          <t>If the Blind m2 is 
oversized, then 
"Check Size" 
will be listed.</t>
        </r>
      </text>
    </comment>
    <comment ref="R41" authorId="0" shapeId="0" xr:uid="{00000000-0006-0000-0600-0000C801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42" authorId="0" shapeId="0" xr:uid="{00000000-0006-0000-0600-0000C901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42" authorId="0" shapeId="0" xr:uid="{00000000-0006-0000-0600-0000CA010000}">
      <text>
        <r>
          <rPr>
            <sz val="8"/>
            <color indexed="81"/>
            <rFont val="Tahoma"/>
            <family val="2"/>
          </rPr>
          <t>Product options are;
25mm Single Cellular Blind
38mm Single Cellular Blind
38mm Double Cellular Blind</t>
        </r>
      </text>
    </comment>
    <comment ref="F42" authorId="0" shapeId="0" xr:uid="{00000000-0006-0000-0600-0000CB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42" authorId="0" shapeId="0" xr:uid="{00000000-0006-0000-0600-0000CC010000}">
      <text>
        <r>
          <rPr>
            <sz val="8"/>
            <color indexed="81"/>
            <rFont val="Tahoma"/>
            <family val="2"/>
          </rPr>
          <t>The Colour is dependent on the 
Fabric option selected. 
For a Day Night Blind, 
this Colour is for the 
Top Blind which can be either 
Blockout or Translucent.</t>
        </r>
      </text>
    </comment>
    <comment ref="H42" authorId="0" shapeId="0" xr:uid="{00000000-0006-0000-0600-0000CD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2" authorId="0" shapeId="0" xr:uid="{00000000-0006-0000-0600-0000CE01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42" authorId="0" shapeId="0" xr:uid="{00000000-0006-0000-0600-0000CF01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42" authorId="0" shapeId="0" xr:uid="{00000000-0006-0000-0600-0000D0010000}">
      <text>
        <r>
          <rPr>
            <sz val="8"/>
            <color indexed="81"/>
            <rFont val="Tahoma"/>
            <family val="2"/>
          </rPr>
          <t>When selecting a
Corner or Bay Window Type, 
the CMB Corner WS 
or CMB Bay WS 
must be completed.</t>
        </r>
      </text>
    </comment>
    <comment ref="M42" authorId="0" shapeId="0" xr:uid="{00000000-0006-0000-0600-0000D1010000}">
      <text>
        <r>
          <rPr>
            <sz val="8"/>
            <color indexed="81"/>
            <rFont val="Tahoma"/>
            <family val="2"/>
          </rPr>
          <t>ACT 
Actual Measurements
You have made the allowances.
NAM
No Allowances Made 
The factory will make the deductions.</t>
        </r>
      </text>
    </comment>
    <comment ref="O42" authorId="0" shapeId="0" xr:uid="{00000000-0006-0000-0600-0000D201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42" authorId="0" shapeId="0" xr:uid="{00000000-0006-0000-0600-0000D3010000}">
      <text>
        <r>
          <rPr>
            <sz val="8"/>
            <color indexed="81"/>
            <rFont val="Tahoma"/>
            <family val="2"/>
          </rPr>
          <t>Motor Control options are;
Battery Operated Motor - Left Side Wand
Battery Operated Motor - Right Side Wand
Hardwired Motor - Left Side Wand
Hardwired Motor - Right Side Wand</t>
        </r>
      </text>
    </comment>
    <comment ref="Q42" authorId="0" shapeId="0" xr:uid="{00000000-0006-0000-0600-0000D4010000}">
      <text>
        <r>
          <rPr>
            <sz val="8"/>
            <color indexed="81"/>
            <rFont val="Tahoma"/>
            <family val="2"/>
          </rPr>
          <t>If the Blind m2 is 
oversized, then 
"Check Size" 
will be listed.</t>
        </r>
      </text>
    </comment>
    <comment ref="R42" authorId="0" shapeId="0" xr:uid="{00000000-0006-0000-0600-0000D501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43" authorId="0" shapeId="0" xr:uid="{00000000-0006-0000-0600-0000D601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43" authorId="0" shapeId="0" xr:uid="{00000000-0006-0000-0600-0000D7010000}">
      <text>
        <r>
          <rPr>
            <sz val="8"/>
            <color indexed="81"/>
            <rFont val="Tahoma"/>
            <family val="2"/>
          </rPr>
          <t>Product options are;
25mm Single Cellular Blind
38mm Single Cellular Blind
38mm Double Cellular Blind</t>
        </r>
      </text>
    </comment>
    <comment ref="F43" authorId="0" shapeId="0" xr:uid="{00000000-0006-0000-0600-0000D8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43" authorId="0" shapeId="0" xr:uid="{00000000-0006-0000-0600-0000D9010000}">
      <text>
        <r>
          <rPr>
            <sz val="8"/>
            <color indexed="81"/>
            <rFont val="Tahoma"/>
            <family val="2"/>
          </rPr>
          <t>The Colour is dependent on the 
Fabric option selected. 
For a Day Night Blind, 
this Colour is for the 
Top Blind which can be either 
Blockout or Translucent.</t>
        </r>
      </text>
    </comment>
    <comment ref="H43" authorId="0" shapeId="0" xr:uid="{00000000-0006-0000-0600-0000DA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3" authorId="0" shapeId="0" xr:uid="{00000000-0006-0000-0600-0000DB01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43" authorId="0" shapeId="0" xr:uid="{00000000-0006-0000-0600-0000DC01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43" authorId="0" shapeId="0" xr:uid="{00000000-0006-0000-0600-0000DD010000}">
      <text>
        <r>
          <rPr>
            <sz val="8"/>
            <color indexed="81"/>
            <rFont val="Tahoma"/>
            <family val="2"/>
          </rPr>
          <t>When selecting a
Corner or Bay Window Type, 
the CMB Corner WS 
or CMB Bay WS 
must be completed.</t>
        </r>
      </text>
    </comment>
    <comment ref="M43" authorId="0" shapeId="0" xr:uid="{00000000-0006-0000-0600-0000DE010000}">
      <text>
        <r>
          <rPr>
            <sz val="8"/>
            <color indexed="81"/>
            <rFont val="Tahoma"/>
            <family val="2"/>
          </rPr>
          <t>ACT 
Actual Measurements
You have made the allowances.
NAM
No Allowances Made 
The factory will make the deductions.</t>
        </r>
      </text>
    </comment>
    <comment ref="O43" authorId="0" shapeId="0" xr:uid="{00000000-0006-0000-0600-0000DF01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43" authorId="0" shapeId="0" xr:uid="{00000000-0006-0000-0600-0000E0010000}">
      <text>
        <r>
          <rPr>
            <sz val="8"/>
            <color indexed="81"/>
            <rFont val="Tahoma"/>
            <family val="2"/>
          </rPr>
          <t>Motor Control options are;
Battery Operated Motor - Left Side Wand
Battery Operated Motor - Right Side Wand
Hardwired Motor - Left Side Wand
Hardwired Motor - Right Side Wand</t>
        </r>
      </text>
    </comment>
    <comment ref="Q43" authorId="0" shapeId="0" xr:uid="{00000000-0006-0000-0600-0000E1010000}">
      <text>
        <r>
          <rPr>
            <sz val="8"/>
            <color indexed="81"/>
            <rFont val="Tahoma"/>
            <family val="2"/>
          </rPr>
          <t>If the Blind m2 is 
oversized, then 
"Check Size" 
will be listed.</t>
        </r>
      </text>
    </comment>
    <comment ref="R43" authorId="0" shapeId="0" xr:uid="{00000000-0006-0000-0600-0000E201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44" authorId="0" shapeId="0" xr:uid="{00000000-0006-0000-0600-0000E301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44" authorId="0" shapeId="0" xr:uid="{00000000-0006-0000-0600-0000E4010000}">
      <text>
        <r>
          <rPr>
            <sz val="8"/>
            <color indexed="81"/>
            <rFont val="Tahoma"/>
            <family val="2"/>
          </rPr>
          <t>Product options are;
25mm Single Cellular Blind
38mm Single Cellular Blind
38mm Double Cellular Blind</t>
        </r>
      </text>
    </comment>
    <comment ref="F44" authorId="0" shapeId="0" xr:uid="{00000000-0006-0000-0600-0000E5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44" authorId="0" shapeId="0" xr:uid="{00000000-0006-0000-0600-0000E6010000}">
      <text>
        <r>
          <rPr>
            <sz val="8"/>
            <color indexed="81"/>
            <rFont val="Tahoma"/>
            <family val="2"/>
          </rPr>
          <t>The Colour is dependent on the 
Fabric option selected. 
For a Day Night Blind, 
this Colour is for the 
Top Blind which can be either 
Blockout or Translucent.</t>
        </r>
      </text>
    </comment>
    <comment ref="H44" authorId="0" shapeId="0" xr:uid="{00000000-0006-0000-0600-0000E7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4" authorId="0" shapeId="0" xr:uid="{00000000-0006-0000-0600-0000E801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44" authorId="0" shapeId="0" xr:uid="{00000000-0006-0000-0600-0000E901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44" authorId="0" shapeId="0" xr:uid="{00000000-0006-0000-0600-0000EA010000}">
      <text>
        <r>
          <rPr>
            <sz val="8"/>
            <color indexed="81"/>
            <rFont val="Tahoma"/>
            <family val="2"/>
          </rPr>
          <t>When selecting a
Corner or Bay Window Type, 
the CMB Corner WS 
or CMB Bay WS 
must be completed.</t>
        </r>
      </text>
    </comment>
    <comment ref="M44" authorId="0" shapeId="0" xr:uid="{00000000-0006-0000-0600-0000EB010000}">
      <text>
        <r>
          <rPr>
            <sz val="8"/>
            <color indexed="81"/>
            <rFont val="Tahoma"/>
            <family val="2"/>
          </rPr>
          <t>ACT 
Actual Measurements
You have made the allowances.
NAM
No Allowances Made 
The factory will make the deductions.</t>
        </r>
      </text>
    </comment>
    <comment ref="O44" authorId="0" shapeId="0" xr:uid="{00000000-0006-0000-0600-0000EC01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44" authorId="0" shapeId="0" xr:uid="{00000000-0006-0000-0600-0000ED010000}">
      <text>
        <r>
          <rPr>
            <sz val="8"/>
            <color indexed="81"/>
            <rFont val="Tahoma"/>
            <family val="2"/>
          </rPr>
          <t>Motor Control options are;
Battery Operated Motor - Left Side Wand
Battery Operated Motor - Right Side Wand
Hardwired Motor - Left Side Wand
Hardwired Motor - Right Side Wand</t>
        </r>
      </text>
    </comment>
    <comment ref="Q44" authorId="0" shapeId="0" xr:uid="{00000000-0006-0000-0600-0000EE010000}">
      <text>
        <r>
          <rPr>
            <sz val="8"/>
            <color indexed="81"/>
            <rFont val="Tahoma"/>
            <family val="2"/>
          </rPr>
          <t>If the Blind m2 is 
oversized, then 
"Check Size" 
will be listed.</t>
        </r>
      </text>
    </comment>
    <comment ref="R44" authorId="0" shapeId="0" xr:uid="{00000000-0006-0000-0600-0000EF01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45" authorId="0" shapeId="0" xr:uid="{00000000-0006-0000-0600-0000F001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45" authorId="0" shapeId="0" xr:uid="{00000000-0006-0000-0600-0000F1010000}">
      <text>
        <r>
          <rPr>
            <sz val="8"/>
            <color indexed="81"/>
            <rFont val="Tahoma"/>
            <family val="2"/>
          </rPr>
          <t>Product options are;
25mm Single Cellular Blind
38mm Single Cellular Blind
38mm Double Cellular Blind</t>
        </r>
      </text>
    </comment>
    <comment ref="F45" authorId="0" shapeId="0" xr:uid="{00000000-0006-0000-0600-0000F2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45" authorId="0" shapeId="0" xr:uid="{00000000-0006-0000-0600-0000F3010000}">
      <text>
        <r>
          <rPr>
            <sz val="8"/>
            <color indexed="81"/>
            <rFont val="Tahoma"/>
            <family val="2"/>
          </rPr>
          <t>The Colour is dependent on the 
Fabric option selected. 
For a Day Night Blind, 
this Colour is for the 
Top Blind which can be either 
Blockout or Translucent.</t>
        </r>
      </text>
    </comment>
    <comment ref="H45" authorId="0" shapeId="0" xr:uid="{00000000-0006-0000-0600-0000F4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5" authorId="0" shapeId="0" xr:uid="{00000000-0006-0000-0600-0000F501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45" authorId="0" shapeId="0" xr:uid="{00000000-0006-0000-0600-0000F601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45" authorId="0" shapeId="0" xr:uid="{00000000-0006-0000-0600-0000F7010000}">
      <text>
        <r>
          <rPr>
            <sz val="8"/>
            <color indexed="81"/>
            <rFont val="Tahoma"/>
            <family val="2"/>
          </rPr>
          <t>When selecting a
Corner or Bay Window Type, 
the CMB Corner WS 
or CMB Bay WS 
must be completed.</t>
        </r>
      </text>
    </comment>
    <comment ref="M45" authorId="0" shapeId="0" xr:uid="{00000000-0006-0000-0600-0000F8010000}">
      <text>
        <r>
          <rPr>
            <sz val="8"/>
            <color indexed="81"/>
            <rFont val="Tahoma"/>
            <family val="2"/>
          </rPr>
          <t>ACT 
Actual Measurements
You have made the allowances.
NAM
No Allowances Made 
The factory will make the deductions.</t>
        </r>
      </text>
    </comment>
    <comment ref="O45" authorId="0" shapeId="0" xr:uid="{00000000-0006-0000-0600-0000F901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45" authorId="0" shapeId="0" xr:uid="{00000000-0006-0000-0600-0000FA010000}">
      <text>
        <r>
          <rPr>
            <sz val="8"/>
            <color indexed="81"/>
            <rFont val="Tahoma"/>
            <family val="2"/>
          </rPr>
          <t>Motor Control options are;
Battery Operated Motor - Left Side Wand
Battery Operated Motor - Right Side Wand
Hardwired Motor - Left Side Wand
Hardwired Motor - Right Side Wand</t>
        </r>
      </text>
    </comment>
    <comment ref="Q45" authorId="0" shapeId="0" xr:uid="{00000000-0006-0000-0600-0000FB010000}">
      <text>
        <r>
          <rPr>
            <sz val="8"/>
            <color indexed="81"/>
            <rFont val="Tahoma"/>
            <family val="2"/>
          </rPr>
          <t>If the Blind m2 is 
oversized, then 
"Check Size" 
will be listed.</t>
        </r>
      </text>
    </comment>
    <comment ref="R45" authorId="0" shapeId="0" xr:uid="{00000000-0006-0000-0600-0000FC01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46" authorId="0" shapeId="0" xr:uid="{00000000-0006-0000-0600-0000FD01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46" authorId="0" shapeId="0" xr:uid="{00000000-0006-0000-0600-0000FE010000}">
      <text>
        <r>
          <rPr>
            <sz val="8"/>
            <color indexed="81"/>
            <rFont val="Tahoma"/>
            <family val="2"/>
          </rPr>
          <t>Product options are;
25mm Single Cellular Blind
38mm Single Cellular Blind
38mm Double Cellular Blind</t>
        </r>
      </text>
    </comment>
    <comment ref="F46" authorId="0" shapeId="0" xr:uid="{00000000-0006-0000-0600-0000FF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46" authorId="0" shapeId="0" xr:uid="{00000000-0006-0000-0600-000000020000}">
      <text>
        <r>
          <rPr>
            <sz val="8"/>
            <color indexed="81"/>
            <rFont val="Tahoma"/>
            <family val="2"/>
          </rPr>
          <t>The Colour is dependent on the 
Fabric option selected. 
For a Day Night Blind, 
this Colour is for the 
Top Blind which can be either 
Blockout or Translucent.</t>
        </r>
      </text>
    </comment>
    <comment ref="H46" authorId="0" shapeId="0" xr:uid="{00000000-0006-0000-0600-00000102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6" authorId="0" shapeId="0" xr:uid="{00000000-0006-0000-0600-00000202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46" authorId="0" shapeId="0" xr:uid="{00000000-0006-0000-0600-00000302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46" authorId="0" shapeId="0" xr:uid="{00000000-0006-0000-0600-000004020000}">
      <text>
        <r>
          <rPr>
            <sz val="8"/>
            <color indexed="81"/>
            <rFont val="Tahoma"/>
            <family val="2"/>
          </rPr>
          <t>When selecting a
Corner or Bay Window Type, 
the CMB Corner WS 
or CMB Bay WS 
must be completed.</t>
        </r>
      </text>
    </comment>
    <comment ref="M46" authorId="0" shapeId="0" xr:uid="{00000000-0006-0000-0600-000005020000}">
      <text>
        <r>
          <rPr>
            <sz val="8"/>
            <color indexed="81"/>
            <rFont val="Tahoma"/>
            <family val="2"/>
          </rPr>
          <t>ACT 
Actual Measurements
You have made the allowances.
NAM
No Allowances Made 
The factory will make the deductions.</t>
        </r>
      </text>
    </comment>
    <comment ref="O46" authorId="0" shapeId="0" xr:uid="{00000000-0006-0000-0600-00000602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46" authorId="0" shapeId="0" xr:uid="{00000000-0006-0000-0600-000007020000}">
      <text>
        <r>
          <rPr>
            <sz val="8"/>
            <color indexed="81"/>
            <rFont val="Tahoma"/>
            <family val="2"/>
          </rPr>
          <t>Motor Control options are;
Battery Operated Motor - Left Side Wand
Battery Operated Motor - Right Side Wand
Hardwired Motor - Left Side Wand
Hardwired Motor - Right Side Wand</t>
        </r>
      </text>
    </comment>
    <comment ref="Q46" authorId="0" shapeId="0" xr:uid="{00000000-0006-0000-0600-000008020000}">
      <text>
        <r>
          <rPr>
            <sz val="8"/>
            <color indexed="81"/>
            <rFont val="Tahoma"/>
            <family val="2"/>
          </rPr>
          <t>If the Blind m2 is 
oversized, then 
"Check Size" 
will be listed.</t>
        </r>
      </text>
    </comment>
    <comment ref="R46" authorId="0" shapeId="0" xr:uid="{00000000-0006-0000-0600-00000902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47" authorId="0" shapeId="0" xr:uid="{00000000-0006-0000-0600-00000A02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47" authorId="0" shapeId="0" xr:uid="{00000000-0006-0000-0600-00000B020000}">
      <text>
        <r>
          <rPr>
            <sz val="8"/>
            <color indexed="81"/>
            <rFont val="Tahoma"/>
            <family val="2"/>
          </rPr>
          <t>Product options are;
25mm Single Cellular Blind
38mm Single Cellular Blind
38mm Double Cellular Blind</t>
        </r>
      </text>
    </comment>
    <comment ref="F47" authorId="0" shapeId="0" xr:uid="{00000000-0006-0000-0600-00000C02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47" authorId="0" shapeId="0" xr:uid="{00000000-0006-0000-0600-00000D020000}">
      <text>
        <r>
          <rPr>
            <sz val="8"/>
            <color indexed="81"/>
            <rFont val="Tahoma"/>
            <family val="2"/>
          </rPr>
          <t>The Colour is dependent on the 
Fabric option selected. 
For a Day Night Blind, 
this Colour is for the 
Top Blind which can be either 
Blockout or Translucent.</t>
        </r>
      </text>
    </comment>
    <comment ref="H47" authorId="0" shapeId="0" xr:uid="{00000000-0006-0000-0600-00000E02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7" authorId="0" shapeId="0" xr:uid="{00000000-0006-0000-0600-00000F02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47" authorId="0" shapeId="0" xr:uid="{00000000-0006-0000-0600-00001002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47" authorId="0" shapeId="0" xr:uid="{00000000-0006-0000-0600-000011020000}">
      <text>
        <r>
          <rPr>
            <sz val="8"/>
            <color indexed="81"/>
            <rFont val="Tahoma"/>
            <family val="2"/>
          </rPr>
          <t>When selecting a
Corner or Bay Window Type, 
the CMB Corner WS 
or CMB Bay WS 
must be completed.</t>
        </r>
      </text>
    </comment>
    <comment ref="M47" authorId="0" shapeId="0" xr:uid="{00000000-0006-0000-0600-000012020000}">
      <text>
        <r>
          <rPr>
            <sz val="8"/>
            <color indexed="81"/>
            <rFont val="Tahoma"/>
            <family val="2"/>
          </rPr>
          <t>ACT 
Actual Measurements
You have made the allowances.
NAM
No Allowances Made 
The factory will make the deductions.</t>
        </r>
      </text>
    </comment>
    <comment ref="O47" authorId="0" shapeId="0" xr:uid="{00000000-0006-0000-0600-00001302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47" authorId="0" shapeId="0" xr:uid="{00000000-0006-0000-0600-000014020000}">
      <text>
        <r>
          <rPr>
            <sz val="8"/>
            <color indexed="81"/>
            <rFont val="Tahoma"/>
            <family val="2"/>
          </rPr>
          <t>Motor Control options are;
Battery Operated Motor - Left Side Wand
Battery Operated Motor - Right Side Wand
Hardwired Motor - Left Side Wand
Hardwired Motor - Right Side Wand</t>
        </r>
      </text>
    </comment>
    <comment ref="Q47" authorId="0" shapeId="0" xr:uid="{00000000-0006-0000-0600-000015020000}">
      <text>
        <r>
          <rPr>
            <sz val="8"/>
            <color indexed="81"/>
            <rFont val="Tahoma"/>
            <family val="2"/>
          </rPr>
          <t>If the Blind m2 is 
oversized, then 
"Check Size" 
will be listed.</t>
        </r>
      </text>
    </comment>
    <comment ref="R47" authorId="0" shapeId="0" xr:uid="{00000000-0006-0000-0600-00001602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48" authorId="0" shapeId="0" xr:uid="{00000000-0006-0000-0600-00001702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48" authorId="0" shapeId="0" xr:uid="{00000000-0006-0000-0600-000018020000}">
      <text>
        <r>
          <rPr>
            <sz val="8"/>
            <color indexed="81"/>
            <rFont val="Tahoma"/>
            <family val="2"/>
          </rPr>
          <t>Product options are;
25mm Single Cellular Blind
38mm Single Cellular Blind
38mm Double Cellular Blind</t>
        </r>
      </text>
    </comment>
    <comment ref="F48" authorId="0" shapeId="0" xr:uid="{00000000-0006-0000-0600-00001902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48" authorId="0" shapeId="0" xr:uid="{00000000-0006-0000-0600-00001A020000}">
      <text>
        <r>
          <rPr>
            <sz val="8"/>
            <color indexed="81"/>
            <rFont val="Tahoma"/>
            <family val="2"/>
          </rPr>
          <t>The Colour is dependent on the 
Fabric option selected. 
For a Day Night Blind, 
this Colour is for the 
Top Blind which can be either 
Blockout or Translucent.</t>
        </r>
      </text>
    </comment>
    <comment ref="H48" authorId="0" shapeId="0" xr:uid="{00000000-0006-0000-0600-00001B02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8" authorId="0" shapeId="0" xr:uid="{00000000-0006-0000-0600-00001C02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48" authorId="0" shapeId="0" xr:uid="{00000000-0006-0000-0600-00001D02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48" authorId="0" shapeId="0" xr:uid="{00000000-0006-0000-0600-00001E020000}">
      <text>
        <r>
          <rPr>
            <sz val="8"/>
            <color indexed="81"/>
            <rFont val="Tahoma"/>
            <family val="2"/>
          </rPr>
          <t>When selecting a
Corner or Bay Window Type, 
the CMB Corner WS 
or CMB Bay WS 
must be completed.</t>
        </r>
      </text>
    </comment>
    <comment ref="M48" authorId="0" shapeId="0" xr:uid="{00000000-0006-0000-0600-00001F020000}">
      <text>
        <r>
          <rPr>
            <sz val="8"/>
            <color indexed="81"/>
            <rFont val="Tahoma"/>
            <family val="2"/>
          </rPr>
          <t>ACT 
Actual Measurements
You have made the allowances.
NAM
No Allowances Made 
The factory will make the deductions.</t>
        </r>
      </text>
    </comment>
    <comment ref="O48" authorId="0" shapeId="0" xr:uid="{00000000-0006-0000-0600-00002002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48" authorId="0" shapeId="0" xr:uid="{00000000-0006-0000-0600-000021020000}">
      <text>
        <r>
          <rPr>
            <sz val="8"/>
            <color indexed="81"/>
            <rFont val="Tahoma"/>
            <family val="2"/>
          </rPr>
          <t>Motor Control options are;
Battery Operated Motor - Left Side Wand
Battery Operated Motor - Right Side Wand
Hardwired Motor - Left Side Wand
Hardwired Motor - Right Side Wand</t>
        </r>
      </text>
    </comment>
    <comment ref="Q48" authorId="0" shapeId="0" xr:uid="{00000000-0006-0000-0600-000022020000}">
      <text>
        <r>
          <rPr>
            <sz val="8"/>
            <color indexed="81"/>
            <rFont val="Tahoma"/>
            <family val="2"/>
          </rPr>
          <t>If the Blind m2 is 
oversized, then 
"Check Size" 
will be listed.</t>
        </r>
      </text>
    </comment>
    <comment ref="R48" authorId="0" shapeId="0" xr:uid="{00000000-0006-0000-0600-00002302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49" authorId="0" shapeId="0" xr:uid="{00000000-0006-0000-0600-00002402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49" authorId="0" shapeId="0" xr:uid="{00000000-0006-0000-0600-000025020000}">
      <text>
        <r>
          <rPr>
            <sz val="8"/>
            <color indexed="81"/>
            <rFont val="Tahoma"/>
            <family val="2"/>
          </rPr>
          <t>Product options are;
25mm Single Cellular Blind
38mm Single Cellular Blind
38mm Double Cellular Blind</t>
        </r>
      </text>
    </comment>
    <comment ref="F49" authorId="0" shapeId="0" xr:uid="{00000000-0006-0000-0600-00002602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49" authorId="0" shapeId="0" xr:uid="{00000000-0006-0000-0600-000027020000}">
      <text>
        <r>
          <rPr>
            <sz val="8"/>
            <color indexed="81"/>
            <rFont val="Tahoma"/>
            <family val="2"/>
          </rPr>
          <t>The Colour is dependent on the 
Fabric option selected. 
For a Day Night Blind, 
this Colour is for the 
Top Blind which can be either 
Blockout or Translucent.</t>
        </r>
      </text>
    </comment>
    <comment ref="H49" authorId="0" shapeId="0" xr:uid="{00000000-0006-0000-0600-00002802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9" authorId="0" shapeId="0" xr:uid="{00000000-0006-0000-0600-00002902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49" authorId="0" shapeId="0" xr:uid="{00000000-0006-0000-0600-00002A02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49" authorId="0" shapeId="0" xr:uid="{00000000-0006-0000-0600-00002B020000}">
      <text>
        <r>
          <rPr>
            <sz val="8"/>
            <color indexed="81"/>
            <rFont val="Tahoma"/>
            <family val="2"/>
          </rPr>
          <t>When selecting a
Corner or Bay Window Type, 
the CMB Corner WS 
or CMB Bay WS 
must be completed.</t>
        </r>
      </text>
    </comment>
    <comment ref="M49" authorId="0" shapeId="0" xr:uid="{00000000-0006-0000-0600-00002C020000}">
      <text>
        <r>
          <rPr>
            <sz val="8"/>
            <color indexed="81"/>
            <rFont val="Tahoma"/>
            <family val="2"/>
          </rPr>
          <t>ACT 
Actual Measurements
You have made the allowances.
NAM
No Allowances Made 
The factory will make the deductions.</t>
        </r>
      </text>
    </comment>
    <comment ref="O49" authorId="0" shapeId="0" xr:uid="{00000000-0006-0000-0600-00002D02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49" authorId="0" shapeId="0" xr:uid="{00000000-0006-0000-0600-00002E020000}">
      <text>
        <r>
          <rPr>
            <sz val="8"/>
            <color indexed="81"/>
            <rFont val="Tahoma"/>
            <family val="2"/>
          </rPr>
          <t>Motor Control options are;
Battery Operated Motor - Left Side Wand
Battery Operated Motor - Right Side Wand
Hardwired Motor - Left Side Wand
Hardwired Motor - Right Side Wand</t>
        </r>
      </text>
    </comment>
    <comment ref="Q49" authorId="0" shapeId="0" xr:uid="{00000000-0006-0000-0600-00002F020000}">
      <text>
        <r>
          <rPr>
            <sz val="8"/>
            <color indexed="81"/>
            <rFont val="Tahoma"/>
            <family val="2"/>
          </rPr>
          <t>If the Blind m2 is 
oversized, then 
"Check Size" 
will be listed.</t>
        </r>
      </text>
    </comment>
    <comment ref="R49" authorId="0" shapeId="0" xr:uid="{00000000-0006-0000-0600-00003002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50" authorId="0" shapeId="0" xr:uid="{00000000-0006-0000-0600-00003102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50" authorId="0" shapeId="0" xr:uid="{00000000-0006-0000-0600-000032020000}">
      <text>
        <r>
          <rPr>
            <sz val="8"/>
            <color indexed="81"/>
            <rFont val="Tahoma"/>
            <family val="2"/>
          </rPr>
          <t>Product options are;
25mm Single Cellular Blind
38mm Single Cellular Blind
38mm Double Cellular Blind</t>
        </r>
      </text>
    </comment>
    <comment ref="F50" authorId="0" shapeId="0" xr:uid="{00000000-0006-0000-0600-00003302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50" authorId="0" shapeId="0" xr:uid="{00000000-0006-0000-0600-000034020000}">
      <text>
        <r>
          <rPr>
            <sz val="8"/>
            <color indexed="81"/>
            <rFont val="Tahoma"/>
            <family val="2"/>
          </rPr>
          <t>The Colour is dependent on the 
Fabric option selected. 
For a Day Night Blind, 
this Colour is for the 
Top Blind which can be either 
Blockout or Translucent.</t>
        </r>
      </text>
    </comment>
    <comment ref="H50" authorId="0" shapeId="0" xr:uid="{00000000-0006-0000-0600-00003502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50" authorId="0" shapeId="0" xr:uid="{00000000-0006-0000-0600-00003602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50" authorId="0" shapeId="0" xr:uid="{00000000-0006-0000-0600-00003702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50" authorId="0" shapeId="0" xr:uid="{00000000-0006-0000-0600-000038020000}">
      <text>
        <r>
          <rPr>
            <sz val="8"/>
            <color indexed="81"/>
            <rFont val="Tahoma"/>
            <family val="2"/>
          </rPr>
          <t>When selecting a
Corner or Bay Window Type, 
the CMB Corner WS 
or CMB Bay WS 
must be completed.</t>
        </r>
      </text>
    </comment>
    <comment ref="M50" authorId="0" shapeId="0" xr:uid="{00000000-0006-0000-0600-000039020000}">
      <text>
        <r>
          <rPr>
            <sz val="8"/>
            <color indexed="81"/>
            <rFont val="Tahoma"/>
            <family val="2"/>
          </rPr>
          <t>ACT 
Actual Measurements
You have made the allowances.
NAM
No Allowances Made 
The factory will make the deductions.</t>
        </r>
      </text>
    </comment>
    <comment ref="O50" authorId="0" shapeId="0" xr:uid="{00000000-0006-0000-0600-00003A02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50" authorId="0" shapeId="0" xr:uid="{00000000-0006-0000-0600-00003B020000}">
      <text>
        <r>
          <rPr>
            <sz val="8"/>
            <color indexed="81"/>
            <rFont val="Tahoma"/>
            <family val="2"/>
          </rPr>
          <t>Motor Control options are;
Battery Operated Motor - Left Side Wand
Battery Operated Motor - Right Side Wand
Hardwired Motor - Left Side Wand
Hardwired Motor - Right Side Wand</t>
        </r>
      </text>
    </comment>
    <comment ref="Q50" authorId="0" shapeId="0" xr:uid="{00000000-0006-0000-0600-00003C020000}">
      <text>
        <r>
          <rPr>
            <sz val="8"/>
            <color indexed="81"/>
            <rFont val="Tahoma"/>
            <family val="2"/>
          </rPr>
          <t>If the Blind m2 is 
oversized, then 
"Check Size" 
will be listed.</t>
        </r>
      </text>
    </comment>
    <comment ref="R50" authorId="0" shapeId="0" xr:uid="{00000000-0006-0000-0600-00003D02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51" authorId="0" shapeId="0" xr:uid="{00000000-0006-0000-0600-00003E02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51" authorId="0" shapeId="0" xr:uid="{00000000-0006-0000-0600-00003F020000}">
      <text>
        <r>
          <rPr>
            <sz val="8"/>
            <color indexed="81"/>
            <rFont val="Tahoma"/>
            <family val="2"/>
          </rPr>
          <t>Product options are;
25mm Single Cellular Blind
38mm Single Cellular Blind
38mm Double Cellular Blind</t>
        </r>
      </text>
    </comment>
    <comment ref="F51" authorId="0" shapeId="0" xr:uid="{00000000-0006-0000-0600-00004002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51" authorId="0" shapeId="0" xr:uid="{00000000-0006-0000-0600-000041020000}">
      <text>
        <r>
          <rPr>
            <sz val="8"/>
            <color indexed="81"/>
            <rFont val="Tahoma"/>
            <family val="2"/>
          </rPr>
          <t>The Colour is dependent on the 
Fabric option selected. 
For a Day Night Blind, 
this Colour is for the 
Top Blind which can be either 
Blockout or Translucent.</t>
        </r>
      </text>
    </comment>
    <comment ref="H51" authorId="0" shapeId="0" xr:uid="{00000000-0006-0000-0600-00004202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51" authorId="0" shapeId="0" xr:uid="{00000000-0006-0000-0600-00004302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51" authorId="0" shapeId="0" xr:uid="{00000000-0006-0000-0600-00004402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51" authorId="0" shapeId="0" xr:uid="{00000000-0006-0000-0600-000045020000}">
      <text>
        <r>
          <rPr>
            <sz val="8"/>
            <color indexed="81"/>
            <rFont val="Tahoma"/>
            <family val="2"/>
          </rPr>
          <t>When selecting a
Corner or Bay Window Type, 
the CMB Corner WS 
or CMB Bay WS 
must be completed.</t>
        </r>
      </text>
    </comment>
    <comment ref="M51" authorId="0" shapeId="0" xr:uid="{00000000-0006-0000-0600-000046020000}">
      <text>
        <r>
          <rPr>
            <sz val="8"/>
            <color indexed="81"/>
            <rFont val="Tahoma"/>
            <family val="2"/>
          </rPr>
          <t>ACT 
Actual Measurements
You have made the allowances.
NAM
No Allowances Made 
The factory will make the deductions.</t>
        </r>
      </text>
    </comment>
    <comment ref="O51" authorId="0" shapeId="0" xr:uid="{00000000-0006-0000-0600-00004702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51" authorId="0" shapeId="0" xr:uid="{00000000-0006-0000-0600-000048020000}">
      <text>
        <r>
          <rPr>
            <sz val="8"/>
            <color indexed="81"/>
            <rFont val="Tahoma"/>
            <family val="2"/>
          </rPr>
          <t>Motor Control options are;
Battery Operated Motor - Left Side Wand
Battery Operated Motor - Right Side Wand
Hardwired Motor - Left Side Wand
Hardwired Motor - Right Side Wand</t>
        </r>
      </text>
    </comment>
    <comment ref="Q51" authorId="0" shapeId="0" xr:uid="{00000000-0006-0000-0600-000049020000}">
      <text>
        <r>
          <rPr>
            <sz val="8"/>
            <color indexed="81"/>
            <rFont val="Tahoma"/>
            <family val="2"/>
          </rPr>
          <t>If the Blind m2 is 
oversized, then 
"Check Size" 
will be listed.</t>
        </r>
      </text>
    </comment>
    <comment ref="R51" authorId="0" shapeId="0" xr:uid="{00000000-0006-0000-0600-00004A02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52" authorId="0" shapeId="0" xr:uid="{00000000-0006-0000-0600-00004B02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52" authorId="0" shapeId="0" xr:uid="{00000000-0006-0000-0600-00004C020000}">
      <text>
        <r>
          <rPr>
            <sz val="8"/>
            <color indexed="81"/>
            <rFont val="Tahoma"/>
            <family val="2"/>
          </rPr>
          <t>Product options are;
25mm Single Cellular Blind
38mm Single Cellular Blind
38mm Double Cellular Blind</t>
        </r>
      </text>
    </comment>
    <comment ref="F52" authorId="0" shapeId="0" xr:uid="{00000000-0006-0000-0600-00004D02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52" authorId="0" shapeId="0" xr:uid="{00000000-0006-0000-0600-00004E020000}">
      <text>
        <r>
          <rPr>
            <sz val="8"/>
            <color indexed="81"/>
            <rFont val="Tahoma"/>
            <family val="2"/>
          </rPr>
          <t>The Colour is dependent on the 
Fabric option selected. 
For a Day Night Blind, 
this Colour is for the 
Top Blind which can be either 
Blockout or Translucent.</t>
        </r>
      </text>
    </comment>
    <comment ref="H52" authorId="0" shapeId="0" xr:uid="{00000000-0006-0000-0600-00004F02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52" authorId="0" shapeId="0" xr:uid="{00000000-0006-0000-0600-00005002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52" authorId="0" shapeId="0" xr:uid="{00000000-0006-0000-0600-00005102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52" authorId="0" shapeId="0" xr:uid="{00000000-0006-0000-0600-000052020000}">
      <text>
        <r>
          <rPr>
            <sz val="8"/>
            <color indexed="81"/>
            <rFont val="Tahoma"/>
            <family val="2"/>
          </rPr>
          <t>When selecting a
Corner or Bay Window Type, 
the CMB Corner WS 
or CMB Bay WS 
must be completed.</t>
        </r>
      </text>
    </comment>
    <comment ref="M52" authorId="0" shapeId="0" xr:uid="{00000000-0006-0000-0600-000053020000}">
      <text>
        <r>
          <rPr>
            <sz val="8"/>
            <color indexed="81"/>
            <rFont val="Tahoma"/>
            <family val="2"/>
          </rPr>
          <t>ACT 
Actual Measurements
You have made the allowances.
NAM
No Allowances Made 
The factory will make the deductions.</t>
        </r>
      </text>
    </comment>
    <comment ref="O52" authorId="0" shapeId="0" xr:uid="{00000000-0006-0000-0600-00005402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52" authorId="0" shapeId="0" xr:uid="{00000000-0006-0000-0600-000055020000}">
      <text>
        <r>
          <rPr>
            <sz val="8"/>
            <color indexed="81"/>
            <rFont val="Tahoma"/>
            <family val="2"/>
          </rPr>
          <t>Motor Control options are;
Battery Operated Motor - Left Side Wand
Battery Operated Motor - Right Side Wand
Hardwired Motor - Left Side Wand
Hardwired Motor - Right Side Wand</t>
        </r>
      </text>
    </comment>
    <comment ref="Q52" authorId="0" shapeId="0" xr:uid="{00000000-0006-0000-0600-000056020000}">
      <text>
        <r>
          <rPr>
            <sz val="8"/>
            <color indexed="81"/>
            <rFont val="Tahoma"/>
            <family val="2"/>
          </rPr>
          <t>If the Blind m2 is 
oversized, then 
"Check Size" 
will be listed.</t>
        </r>
      </text>
    </comment>
    <comment ref="R52" authorId="0" shapeId="0" xr:uid="{00000000-0006-0000-0600-00005702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53" authorId="0" shapeId="0" xr:uid="{00000000-0006-0000-0600-00005802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53" authorId="0" shapeId="0" xr:uid="{00000000-0006-0000-0600-000059020000}">
      <text>
        <r>
          <rPr>
            <sz val="8"/>
            <color indexed="81"/>
            <rFont val="Tahoma"/>
            <family val="2"/>
          </rPr>
          <t>Product options are;
25mm Single Cellular Blind
38mm Single Cellular Blind
38mm Double Cellular Blind</t>
        </r>
      </text>
    </comment>
    <comment ref="F53" authorId="0" shapeId="0" xr:uid="{00000000-0006-0000-0600-00005A02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53" authorId="0" shapeId="0" xr:uid="{00000000-0006-0000-0600-00005B020000}">
      <text>
        <r>
          <rPr>
            <sz val="8"/>
            <color indexed="81"/>
            <rFont val="Tahoma"/>
            <family val="2"/>
          </rPr>
          <t>The Colour is dependent on the 
Fabric option selected. 
For a Day Night Blind, 
this Colour is for the 
Top Blind which can be either 
Blockout or Translucent.</t>
        </r>
      </text>
    </comment>
    <comment ref="H53" authorId="0" shapeId="0" xr:uid="{00000000-0006-0000-0600-00005C02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53" authorId="0" shapeId="0" xr:uid="{00000000-0006-0000-0600-00005D02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53" authorId="0" shapeId="0" xr:uid="{00000000-0006-0000-0600-00005E02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53" authorId="0" shapeId="0" xr:uid="{00000000-0006-0000-0600-00005F020000}">
      <text>
        <r>
          <rPr>
            <sz val="8"/>
            <color indexed="81"/>
            <rFont val="Tahoma"/>
            <family val="2"/>
          </rPr>
          <t>When selecting a
Corner or Bay Window Type, 
the CMB Corner WS 
or CMB Bay WS 
must be completed.</t>
        </r>
      </text>
    </comment>
    <comment ref="M53" authorId="0" shapeId="0" xr:uid="{00000000-0006-0000-0600-000060020000}">
      <text>
        <r>
          <rPr>
            <sz val="8"/>
            <color indexed="81"/>
            <rFont val="Tahoma"/>
            <family val="2"/>
          </rPr>
          <t>ACT 
Actual Measurements
You have made the allowances.
NAM
No Allowances Made 
The factory will make the deductions.</t>
        </r>
      </text>
    </comment>
    <comment ref="O53" authorId="0" shapeId="0" xr:uid="{00000000-0006-0000-0600-00006102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53" authorId="0" shapeId="0" xr:uid="{00000000-0006-0000-0600-000062020000}">
      <text>
        <r>
          <rPr>
            <sz val="8"/>
            <color indexed="81"/>
            <rFont val="Tahoma"/>
            <family val="2"/>
          </rPr>
          <t>Motor Control options are;
Battery Operated Motor - Left Side Wand
Battery Operated Motor - Right Side Wand
Hardwired Motor - Left Side Wand
Hardwired Motor - Right Side Wand</t>
        </r>
      </text>
    </comment>
    <comment ref="Q53" authorId="0" shapeId="0" xr:uid="{00000000-0006-0000-0600-000063020000}">
      <text>
        <r>
          <rPr>
            <sz val="8"/>
            <color indexed="81"/>
            <rFont val="Tahoma"/>
            <family val="2"/>
          </rPr>
          <t>If the Blind m2 is 
oversized, then 
"Check Size" 
will be listed.</t>
        </r>
      </text>
    </comment>
    <comment ref="R53" authorId="0" shapeId="0" xr:uid="{00000000-0006-0000-0600-00006402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54" authorId="0" shapeId="0" xr:uid="{00000000-0006-0000-0600-00006502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54" authorId="0" shapeId="0" xr:uid="{00000000-0006-0000-0600-000066020000}">
      <text>
        <r>
          <rPr>
            <sz val="8"/>
            <color indexed="81"/>
            <rFont val="Tahoma"/>
            <family val="2"/>
          </rPr>
          <t>Product options are;
25mm Single Cellular Blind
38mm Single Cellular Blind
38mm Double Cellular Blind</t>
        </r>
      </text>
    </comment>
    <comment ref="F54" authorId="0" shapeId="0" xr:uid="{00000000-0006-0000-0600-00006702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54" authorId="0" shapeId="0" xr:uid="{00000000-0006-0000-0600-000068020000}">
      <text>
        <r>
          <rPr>
            <sz val="8"/>
            <color indexed="81"/>
            <rFont val="Tahoma"/>
            <family val="2"/>
          </rPr>
          <t>The Colour is dependent on the 
Fabric option selected. 
For a Day Night Blind, 
this Colour is for the 
Top Blind which can be either 
Blockout or Translucent.</t>
        </r>
      </text>
    </comment>
    <comment ref="H54" authorId="0" shapeId="0" xr:uid="{00000000-0006-0000-0600-00006902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54" authorId="0" shapeId="0" xr:uid="{00000000-0006-0000-0600-00006A02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54" authorId="0" shapeId="0" xr:uid="{00000000-0006-0000-0600-00006B02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54" authorId="0" shapeId="0" xr:uid="{00000000-0006-0000-0600-00006C020000}">
      <text>
        <r>
          <rPr>
            <sz val="8"/>
            <color indexed="81"/>
            <rFont val="Tahoma"/>
            <family val="2"/>
          </rPr>
          <t>When selecting a
Corner or Bay Window Type, 
the CMB Corner WS 
or CMB Bay WS 
must be completed.</t>
        </r>
      </text>
    </comment>
    <comment ref="M54" authorId="0" shapeId="0" xr:uid="{00000000-0006-0000-0600-00006D020000}">
      <text>
        <r>
          <rPr>
            <sz val="8"/>
            <color indexed="81"/>
            <rFont val="Tahoma"/>
            <family val="2"/>
          </rPr>
          <t>ACT 
Actual Measurements
You have made the allowances.
NAM
No Allowances Made 
The factory will make the deductions.</t>
        </r>
      </text>
    </comment>
    <comment ref="O54" authorId="0" shapeId="0" xr:uid="{00000000-0006-0000-0600-00006E02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54" authorId="0" shapeId="0" xr:uid="{00000000-0006-0000-0600-00006F020000}">
      <text>
        <r>
          <rPr>
            <sz val="8"/>
            <color indexed="81"/>
            <rFont val="Tahoma"/>
            <family val="2"/>
          </rPr>
          <t>Motor Control options are;
Battery Operated Motor - Left Side Wand
Battery Operated Motor - Right Side Wand
Hardwired Motor - Left Side Wand
Hardwired Motor - Right Side Wand</t>
        </r>
      </text>
    </comment>
    <comment ref="Q54" authorId="0" shapeId="0" xr:uid="{00000000-0006-0000-0600-000070020000}">
      <text>
        <r>
          <rPr>
            <sz val="8"/>
            <color indexed="81"/>
            <rFont val="Tahoma"/>
            <family val="2"/>
          </rPr>
          <t>If the Blind m2 is 
oversized, then 
"Check Size" 
will be listed.</t>
        </r>
      </text>
    </comment>
    <comment ref="R54" authorId="0" shapeId="0" xr:uid="{00000000-0006-0000-0600-00007102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55" authorId="0" shapeId="0" xr:uid="{00000000-0006-0000-0600-00007202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55" authorId="0" shapeId="0" xr:uid="{00000000-0006-0000-0600-000073020000}">
      <text>
        <r>
          <rPr>
            <sz val="8"/>
            <color indexed="81"/>
            <rFont val="Tahoma"/>
            <family val="2"/>
          </rPr>
          <t>Product options are;
25mm Single Cellular Blind
38mm Single Cellular Blind
38mm Double Cellular Blind</t>
        </r>
      </text>
    </comment>
    <comment ref="F55" authorId="0" shapeId="0" xr:uid="{00000000-0006-0000-0600-00007402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55" authorId="0" shapeId="0" xr:uid="{00000000-0006-0000-0600-000075020000}">
      <text>
        <r>
          <rPr>
            <sz val="8"/>
            <color indexed="81"/>
            <rFont val="Tahoma"/>
            <family val="2"/>
          </rPr>
          <t>The Colour is dependent on the 
Fabric option selected. 
For a Day Night Blind, 
this Colour is for the 
Top Blind which can be either 
Blockout or Translucent.</t>
        </r>
      </text>
    </comment>
    <comment ref="H55" authorId="0" shapeId="0" xr:uid="{00000000-0006-0000-0600-00007602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55" authorId="0" shapeId="0" xr:uid="{00000000-0006-0000-0600-00007702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55" authorId="0" shapeId="0" xr:uid="{00000000-0006-0000-0600-00007802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55" authorId="0" shapeId="0" xr:uid="{00000000-0006-0000-0600-000079020000}">
      <text>
        <r>
          <rPr>
            <sz val="8"/>
            <color indexed="81"/>
            <rFont val="Tahoma"/>
            <family val="2"/>
          </rPr>
          <t>When selecting a
Corner or Bay Window Type, 
the CMB Corner WS 
or CMB Bay WS 
must be completed.</t>
        </r>
      </text>
    </comment>
    <comment ref="M55" authorId="0" shapeId="0" xr:uid="{00000000-0006-0000-0600-00007A020000}">
      <text>
        <r>
          <rPr>
            <sz val="8"/>
            <color indexed="81"/>
            <rFont val="Tahoma"/>
            <family val="2"/>
          </rPr>
          <t>ACT 
Actual Measurements
You have made the allowances.
NAM
No Allowances Made 
The factory will make the deductions.</t>
        </r>
      </text>
    </comment>
    <comment ref="O55" authorId="0" shapeId="0" xr:uid="{00000000-0006-0000-0600-00007B02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55" authorId="0" shapeId="0" xr:uid="{00000000-0006-0000-0600-00007C020000}">
      <text>
        <r>
          <rPr>
            <sz val="8"/>
            <color indexed="81"/>
            <rFont val="Tahoma"/>
            <family val="2"/>
          </rPr>
          <t>Motor Control options are;
Battery Operated Motor - Left Side Wand
Battery Operated Motor - Right Side Wand
Hardwired Motor - Left Side Wand
Hardwired Motor - Right Side Wand</t>
        </r>
      </text>
    </comment>
    <comment ref="Q55" authorId="0" shapeId="0" xr:uid="{00000000-0006-0000-0600-00007D020000}">
      <text>
        <r>
          <rPr>
            <sz val="8"/>
            <color indexed="81"/>
            <rFont val="Tahoma"/>
            <family val="2"/>
          </rPr>
          <t>If the Blind m2 is 
oversized, then 
"Check Size" 
will be listed.</t>
        </r>
      </text>
    </comment>
    <comment ref="R55" authorId="0" shapeId="0" xr:uid="{00000000-0006-0000-0600-00007E02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56" authorId="0" shapeId="0" xr:uid="{00000000-0006-0000-0600-00007F02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56" authorId="0" shapeId="0" xr:uid="{00000000-0006-0000-0600-000080020000}">
      <text>
        <r>
          <rPr>
            <sz val="8"/>
            <color indexed="81"/>
            <rFont val="Tahoma"/>
            <family val="2"/>
          </rPr>
          <t>Product options are;
25mm Single Cellular Blind
38mm Single Cellular Blind
38mm Double Cellular Blind</t>
        </r>
      </text>
    </comment>
    <comment ref="F56" authorId="0" shapeId="0" xr:uid="{00000000-0006-0000-0600-00008102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56" authorId="0" shapeId="0" xr:uid="{00000000-0006-0000-0600-000082020000}">
      <text>
        <r>
          <rPr>
            <sz val="8"/>
            <color indexed="81"/>
            <rFont val="Tahoma"/>
            <family val="2"/>
          </rPr>
          <t>The Colour is dependent on the 
Fabric option selected. 
For a Day Night Blind, 
this Colour is for the 
Top Blind which can be either 
Blockout or Translucent.</t>
        </r>
      </text>
    </comment>
    <comment ref="H56" authorId="0" shapeId="0" xr:uid="{00000000-0006-0000-0600-00008302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56" authorId="0" shapeId="0" xr:uid="{00000000-0006-0000-0600-00008402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56" authorId="0" shapeId="0" xr:uid="{00000000-0006-0000-0600-00008502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56" authorId="0" shapeId="0" xr:uid="{00000000-0006-0000-0600-000086020000}">
      <text>
        <r>
          <rPr>
            <sz val="8"/>
            <color indexed="81"/>
            <rFont val="Tahoma"/>
            <family val="2"/>
          </rPr>
          <t>When selecting a
Corner or Bay Window Type, 
the CMB Corner WS 
or CMB Bay WS 
must be completed.</t>
        </r>
      </text>
    </comment>
    <comment ref="M56" authorId="0" shapeId="0" xr:uid="{00000000-0006-0000-0600-000087020000}">
      <text>
        <r>
          <rPr>
            <sz val="8"/>
            <color indexed="81"/>
            <rFont val="Tahoma"/>
            <family val="2"/>
          </rPr>
          <t>ACT 
Actual Measurements
You have made the allowances.
NAM
No Allowances Made 
The factory will make the deductions.</t>
        </r>
      </text>
    </comment>
    <comment ref="O56" authorId="0" shapeId="0" xr:uid="{00000000-0006-0000-0600-00008802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56" authorId="0" shapeId="0" xr:uid="{00000000-0006-0000-0600-000089020000}">
      <text>
        <r>
          <rPr>
            <sz val="8"/>
            <color indexed="81"/>
            <rFont val="Tahoma"/>
            <family val="2"/>
          </rPr>
          <t>Motor Control options are;
Battery Operated Motor - Left Side Wand
Battery Operated Motor - Right Side Wand
Hardwired Motor - Left Side Wand
Hardwired Motor - Right Side Wand</t>
        </r>
      </text>
    </comment>
    <comment ref="Q56" authorId="0" shapeId="0" xr:uid="{00000000-0006-0000-0600-00008A020000}">
      <text>
        <r>
          <rPr>
            <sz val="8"/>
            <color indexed="81"/>
            <rFont val="Tahoma"/>
            <family val="2"/>
          </rPr>
          <t>If the Blind m2 is 
oversized, then 
"Check Size" 
will be listed.</t>
        </r>
      </text>
    </comment>
    <comment ref="R56" authorId="0" shapeId="0" xr:uid="{00000000-0006-0000-0600-00008B02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 ref="D57" authorId="0" shapeId="0" xr:uid="{00000000-0006-0000-0600-00008C020000}">
      <text>
        <r>
          <rPr>
            <sz val="8"/>
            <color indexed="81"/>
            <rFont val="Tahoma"/>
            <family val="2"/>
          </rPr>
          <t>Operation options are;
Corded;
Standard
Day Night
Top Down, Bottom Up
Cordless;
Standard
Day Night
Top Down, Bottom Up
Cordless Wand Operated
Clutch;
Standard
Day Night
Top Down, Bottom Up
Motorised;
Battery
Hardwired</t>
        </r>
      </text>
    </comment>
    <comment ref="E57" authorId="0" shapeId="0" xr:uid="{00000000-0006-0000-0600-00008D020000}">
      <text>
        <r>
          <rPr>
            <sz val="8"/>
            <color indexed="81"/>
            <rFont val="Tahoma"/>
            <family val="2"/>
          </rPr>
          <t>Product options are;
25mm Single Cellular Blind
38mm Single Cellular Blind
38mm Double Cellular Blind</t>
        </r>
      </text>
    </comment>
    <comment ref="F57" authorId="0" shapeId="0" xr:uid="{00000000-0006-0000-0600-00008E02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57" authorId="0" shapeId="0" xr:uid="{00000000-0006-0000-0600-00008F020000}">
      <text>
        <r>
          <rPr>
            <sz val="8"/>
            <color indexed="81"/>
            <rFont val="Tahoma"/>
            <family val="2"/>
          </rPr>
          <t>The Colour is dependent on the 
Fabric option selected. 
For a Day Night Blind, 
this Colour is for the 
Top Blind which can be either 
Blockout or Translucent.</t>
        </r>
      </text>
    </comment>
    <comment ref="H57" authorId="0" shapeId="0" xr:uid="{00000000-0006-0000-0600-00009002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57" authorId="0" shapeId="0" xr:uid="{00000000-0006-0000-0600-00009102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600mm. Maximum Width is 2400mm.
Cordless Top Down Bottom Up; Minimum Width is 600mm. Maximum Width is 2400mm.
Cordless Wand Operated; Minimum Width is 380mm. Maximum Width is 3000mm.
Clutch Standard; Minimum Width is 350mm. Maximum Width is 3000mm.
Clutch Day Night; Minimum Width is 600mm. Maximum Width is 3000mm.
Clutch Top Down, Bottom Up; Minimum Width is 600mm. Maximum Width is 3000mm.
Motorised; Minimum Width is 710mm. Maximum Width is 3000mm.</t>
        </r>
      </text>
    </comment>
    <comment ref="J57" authorId="0" shapeId="0" xr:uid="{00000000-0006-0000-0600-00009202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Cordless Wand Operated; Minimum Height is 200mm. Maximum Height is 3000mm.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Cordless Wand Operated; Minimum Height is 200mm. Maximum Height is 2500mm.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57" authorId="0" shapeId="0" xr:uid="{00000000-0006-0000-0600-000093020000}">
      <text>
        <r>
          <rPr>
            <sz val="8"/>
            <color indexed="81"/>
            <rFont val="Tahoma"/>
            <family val="2"/>
          </rPr>
          <t>When selecting a
Corner or Bay Window Type, 
the CMB Corner WS 
or CMB Bay WS 
must be completed.</t>
        </r>
      </text>
    </comment>
    <comment ref="M57" authorId="0" shapeId="0" xr:uid="{00000000-0006-0000-0600-000094020000}">
      <text>
        <r>
          <rPr>
            <sz val="8"/>
            <color indexed="81"/>
            <rFont val="Tahoma"/>
            <family val="2"/>
          </rPr>
          <t>ACT 
Actual Measurements
You have made the allowances.
NAM
No Allowances Made 
The factory will make the deductions.</t>
        </r>
      </text>
    </comment>
    <comment ref="O57" authorId="0" shapeId="0" xr:uid="{00000000-0006-0000-0600-000095020000}">
      <text>
        <r>
          <rPr>
            <sz val="8"/>
            <color indexed="81"/>
            <rFont val="Tahoma"/>
            <family val="2"/>
          </rPr>
          <t xml:space="preserve">Standard Control options are;
Corded;
Left
Right
Both Left
Both Right
Top Left, Bottom Right
Top Right, Bottom Left
Cordless;
None
Cordless Wand Operated;
Left
Right
Clutch;
Left
Right
Top Left, Bottom Right
Top Right, Bottom Left
Motorised;
N/A
</t>
        </r>
        <r>
          <rPr>
            <i/>
            <sz val="8"/>
            <color indexed="81"/>
            <rFont val="Tahoma"/>
            <family val="2"/>
          </rPr>
          <t>(Enter in Motor Control)</t>
        </r>
      </text>
    </comment>
    <comment ref="P57" authorId="0" shapeId="0" xr:uid="{00000000-0006-0000-0600-000096020000}">
      <text>
        <r>
          <rPr>
            <sz val="8"/>
            <color indexed="81"/>
            <rFont val="Tahoma"/>
            <family val="2"/>
          </rPr>
          <t>Motor Control options are;
Battery Operated Motor - Left Side Wand
Battery Operated Motor - Right Side Wand
Hardwired Motor - Left Side Wand
Hardwired Motor - Right Side Wand</t>
        </r>
      </text>
    </comment>
    <comment ref="Q57" authorId="0" shapeId="0" xr:uid="{00000000-0006-0000-0600-000097020000}">
      <text>
        <r>
          <rPr>
            <sz val="8"/>
            <color indexed="81"/>
            <rFont val="Tahoma"/>
            <family val="2"/>
          </rPr>
          <t>If the Blind m2 is 
oversized, then 
"Check Size" 
will be listed.</t>
        </r>
      </text>
    </comment>
    <comment ref="R57" authorId="0" shapeId="0" xr:uid="{00000000-0006-0000-0600-000098020000}">
      <text>
        <r>
          <rPr>
            <sz val="8"/>
            <color indexed="81"/>
            <rFont val="Tahoma"/>
            <family val="2"/>
          </rPr>
          <t>Maximum m2 Area Sizes
25mm Single Cell Blinds;
Corded Standard 7.63
Corded Top Down, Bottom Up 7.63
Corded Day Night 9.15
Cordless Standard 5.20
Cordless Wand Operated 9.0
Cordless Top Down, Bottom Up 5.20 
Cordless Day Night 10.4
Clutch Standard 7.5 
Clutch Top Down, Bottom Up 6.08
Clutch Day Night 10.5
Motorised Battery 7.5 
Motorised Hardwired 7.5
38mm Single Cell Blinds;
Corded Standard 10.98
Corded Top Down, Bottom Up 10.98
Corded Day Night 10.98
Cordless Standard 5.20
Cordless Wand Operated 9.0 
Cordless Top Down, Bottom Up 5.20 
Cordless Day Night 10.4
Clutch Standard 9.0 
Clutch Top Down, Bottom Up 7.2
Clutch Day Night 12.6
Motorised Battery 9.0
Motorised Hardwired 9.0
38mm Double Cell Blinds;
Corded Standard 7.63
Corded Top Down, Bottom Up 7.63
Corded Day Night 9.15
Cordless Standard 5.20
Cordless Wand Operated 7.5
Cordless Top Down, Bottom Up 5.20 
Cordless Day Night 10.4
Clutch Standard 7.5 
Clutch Top Down, Bottom Up 6.08
Clutch Day Night 10.5
Motorised Battery 7.5 
Motorised Hardwired 7.5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D7" authorId="0" shapeId="0" xr:uid="{00000000-0006-0000-0700-000001000000}">
      <text>
        <r>
          <rPr>
            <sz val="8"/>
            <color indexed="81"/>
            <rFont val="Tahoma"/>
            <family val="2"/>
          </rPr>
          <t>Fabric options are;
Amalfi
Como (Blockout)
Como (Translucent)
Florence
London
Maui
Milan
Pompeii
Rome (Blockout)
Rome (Translucent)
Sunscreen</t>
        </r>
      </text>
    </comment>
    <comment ref="E7" authorId="0" shapeId="0" xr:uid="{00000000-0006-0000-0700-000002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7" authorId="0" shapeId="0" xr:uid="{00000000-0006-0000-0700-000003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7" authorId="0" shapeId="0" xr:uid="{00000000-0006-0000-0700-000004000000}">
      <text>
        <r>
          <rPr>
            <sz val="8"/>
            <color indexed="81"/>
            <rFont val="Tahoma"/>
            <family val="2"/>
          </rPr>
          <t xml:space="preserve">Minimum Height/Drop is 500mm.
Maximum Height/Drop is 3000mm. </t>
        </r>
      </text>
    </comment>
    <comment ref="H7" authorId="0" shapeId="0" xr:uid="{00000000-0006-0000-0700-000005000000}">
      <text>
        <r>
          <rPr>
            <sz val="8"/>
            <color indexed="81"/>
            <rFont val="Tahoma"/>
            <family val="2"/>
          </rPr>
          <t xml:space="preserve">
Panel Quantities 
options;
2
3
4
5
6
7
9
Please note; 
Minimum Panel Width is 400mm.
Maximum Panel Width is 1000mm.</t>
        </r>
      </text>
    </comment>
    <comment ref="I7" authorId="0" shapeId="0" xr:uid="{00000000-0006-0000-0700-000006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7" authorId="0" shapeId="0" xr:uid="{00000000-0006-0000-0700-000007000000}">
      <text>
        <r>
          <rPr>
            <sz val="8"/>
            <color indexed="81"/>
            <rFont val="Tahoma"/>
            <family val="2"/>
          </rPr>
          <t>When selecting a
Corner or Bay 
Window Type, 
the 
CMB Corner WS 
or 
CMB Bay WS 
must be completed.</t>
        </r>
      </text>
    </comment>
    <comment ref="L7" authorId="0" shapeId="0" xr:uid="{00000000-0006-0000-0700-000008000000}">
      <text>
        <r>
          <rPr>
            <sz val="8"/>
            <color indexed="81"/>
            <rFont val="Tahoma"/>
            <family val="2"/>
          </rPr>
          <t>ACT 
Actual Measurements
You have made the allowances.
NAM
No Allowances Made 
The factory will make the deductions.</t>
        </r>
      </text>
    </comment>
    <comment ref="N7" authorId="0" shapeId="0" xr:uid="{00000000-0006-0000-0700-000009000000}">
      <text>
        <r>
          <rPr>
            <sz val="8"/>
            <color indexed="81"/>
            <rFont val="Tahoma"/>
            <family val="2"/>
          </rPr>
          <t>Track Colour options are;
Clear Anodised
Black
White
White Birch
Please note; 
All Blinds are supplied 
with a Clear Anodised Wand.</t>
        </r>
      </text>
    </comment>
    <comment ref="O7" authorId="0" shapeId="0" xr:uid="{00000000-0006-0000-0700-00000A000000}">
      <text>
        <r>
          <rPr>
            <sz val="8"/>
            <color indexed="81"/>
            <rFont val="Tahoma"/>
            <family val="2"/>
          </rPr>
          <t xml:space="preserve">
Finish options;
Sewn In Pocket
Bottom Rail</t>
        </r>
      </text>
    </comment>
    <comment ref="P7" authorId="0" shapeId="0" xr:uid="{00000000-0006-0000-0700-00000B000000}">
      <text>
        <r>
          <rPr>
            <sz val="8"/>
            <color indexed="81"/>
            <rFont val="Tahoma"/>
            <family val="2"/>
          </rPr>
          <t xml:space="preserve">
Bottom Rail Colour options;
Bright Silver
Clear Anodised
Metallic Black
Mocha
White
White Birch</t>
        </r>
      </text>
    </comment>
    <comment ref="Q7" authorId="0" shapeId="0" xr:uid="{00000000-0006-0000-0700-00000C000000}">
      <text>
        <r>
          <rPr>
            <sz val="8"/>
            <color indexed="81"/>
            <rFont val="Tahoma"/>
            <family val="2"/>
          </rPr>
          <t>When
 Standard or Common 
is selected the 
Pelmet Colour 
must be entered.</t>
        </r>
      </text>
    </comment>
    <comment ref="D8" authorId="0" shapeId="0" xr:uid="{00000000-0006-0000-0700-00000D000000}">
      <text>
        <r>
          <rPr>
            <sz val="8"/>
            <color indexed="81"/>
            <rFont val="Tahoma"/>
            <family val="2"/>
          </rPr>
          <t>Fabric options are;
Amalfi
Como (Blockout)
Como (Translucent)
Florence
London
Maui
Milan
Pompeii
Rome (Blockout)
Rome (Translucent)
Sunscreen</t>
        </r>
      </text>
    </comment>
    <comment ref="E8" authorId="0" shapeId="0" xr:uid="{00000000-0006-0000-0700-00000E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8" authorId="0" shapeId="0" xr:uid="{00000000-0006-0000-0700-00000F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8" authorId="0" shapeId="0" xr:uid="{00000000-0006-0000-0700-000010000000}">
      <text>
        <r>
          <rPr>
            <sz val="8"/>
            <color indexed="81"/>
            <rFont val="Tahoma"/>
            <family val="2"/>
          </rPr>
          <t xml:space="preserve">Minimum Height/Drop is 500mm.
Maximum Height/Drop is 3000mm. </t>
        </r>
      </text>
    </comment>
    <comment ref="H8" authorId="0" shapeId="0" xr:uid="{00000000-0006-0000-0700-000011000000}">
      <text>
        <r>
          <rPr>
            <sz val="8"/>
            <color indexed="81"/>
            <rFont val="Tahoma"/>
            <family val="2"/>
          </rPr>
          <t xml:space="preserve">
Panel Quantities 
options;
2
3
4
5
6
7
9
Please note; 
Minimum Panel Width is 400mm.
Maximum Panel Width is 1000mm.</t>
        </r>
      </text>
    </comment>
    <comment ref="I8" authorId="0" shapeId="0" xr:uid="{00000000-0006-0000-0700-000012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8" authorId="0" shapeId="0" xr:uid="{00000000-0006-0000-0700-000013000000}">
      <text>
        <r>
          <rPr>
            <sz val="8"/>
            <color indexed="81"/>
            <rFont val="Tahoma"/>
            <family val="2"/>
          </rPr>
          <t>When selecting a
Corner or Bay 
Window Type, 
the 
CMB Corner WS 
or 
CMB Bay WS 
must be completed.</t>
        </r>
      </text>
    </comment>
    <comment ref="L8" authorId="0" shapeId="0" xr:uid="{00000000-0006-0000-0700-000014000000}">
      <text>
        <r>
          <rPr>
            <sz val="8"/>
            <color indexed="81"/>
            <rFont val="Tahoma"/>
            <family val="2"/>
          </rPr>
          <t>ACT 
Actual Measurements
You have made the allowances.
NAM
No Allowances Made 
The factory will make the deductions.</t>
        </r>
      </text>
    </comment>
    <comment ref="N8" authorId="0" shapeId="0" xr:uid="{00000000-0006-0000-0700-000015000000}">
      <text>
        <r>
          <rPr>
            <sz val="8"/>
            <color indexed="81"/>
            <rFont val="Tahoma"/>
            <family val="2"/>
          </rPr>
          <t>Track Colour options are;
Clear Anodised
Black
White
White Birch
Please note; 
All Blinds are supplied 
with a Clear Anodised Wand.</t>
        </r>
      </text>
    </comment>
    <comment ref="O8" authorId="0" shapeId="0" xr:uid="{00000000-0006-0000-0700-000016000000}">
      <text>
        <r>
          <rPr>
            <sz val="8"/>
            <color indexed="81"/>
            <rFont val="Tahoma"/>
            <family val="2"/>
          </rPr>
          <t xml:space="preserve">
Finish options;
Sewn In Pocket
Bottom Rail</t>
        </r>
      </text>
    </comment>
    <comment ref="P8" authorId="0" shapeId="0" xr:uid="{00000000-0006-0000-0700-000017000000}">
      <text>
        <r>
          <rPr>
            <sz val="8"/>
            <color indexed="81"/>
            <rFont val="Tahoma"/>
            <family val="2"/>
          </rPr>
          <t xml:space="preserve">
Bottom Rail Colour options;
Bright Silver
Clear Anodised
Metallic Black
Mocha
White
White Birch</t>
        </r>
      </text>
    </comment>
    <comment ref="Q8" authorId="0" shapeId="0" xr:uid="{00000000-0006-0000-0700-000018000000}">
      <text>
        <r>
          <rPr>
            <sz val="8"/>
            <color indexed="81"/>
            <rFont val="Tahoma"/>
            <family val="2"/>
          </rPr>
          <t>When
 Standard or Common 
is selected the 
Pelmet Colour 
must be entered.</t>
        </r>
      </text>
    </comment>
    <comment ref="D9" authorId="0" shapeId="0" xr:uid="{00000000-0006-0000-0700-000019000000}">
      <text>
        <r>
          <rPr>
            <sz val="8"/>
            <color indexed="81"/>
            <rFont val="Tahoma"/>
            <family val="2"/>
          </rPr>
          <t>Fabric options are;
Amalfi
Como (Blockout)
Como (Translucent)
Florence
London
Maui
Milan
Pompeii
Rome (Blockout)
Rome (Translucent)
Sunscreen</t>
        </r>
      </text>
    </comment>
    <comment ref="E9" authorId="0" shapeId="0" xr:uid="{00000000-0006-0000-0700-00001A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9" authorId="0" shapeId="0" xr:uid="{00000000-0006-0000-0700-00001B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9" authorId="0" shapeId="0" xr:uid="{00000000-0006-0000-0700-00001C000000}">
      <text>
        <r>
          <rPr>
            <sz val="8"/>
            <color indexed="81"/>
            <rFont val="Tahoma"/>
            <family val="2"/>
          </rPr>
          <t xml:space="preserve">Minimum Height/Drop is 500mm.
Maximum Height/Drop is 3000mm. </t>
        </r>
      </text>
    </comment>
    <comment ref="H9" authorId="0" shapeId="0" xr:uid="{00000000-0006-0000-0700-00001D000000}">
      <text>
        <r>
          <rPr>
            <sz val="8"/>
            <color indexed="81"/>
            <rFont val="Tahoma"/>
            <family val="2"/>
          </rPr>
          <t xml:space="preserve">
Panel Quantities 
options;
2
3
4
5
6
7
9
Please note; 
Minimum Panel Width is 400mm.
Maximum Panel Width is 1000mm.</t>
        </r>
      </text>
    </comment>
    <comment ref="I9" authorId="0" shapeId="0" xr:uid="{00000000-0006-0000-0700-00001E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9" authorId="0" shapeId="0" xr:uid="{00000000-0006-0000-0700-00001F000000}">
      <text>
        <r>
          <rPr>
            <sz val="8"/>
            <color indexed="81"/>
            <rFont val="Tahoma"/>
            <family val="2"/>
          </rPr>
          <t>When selecting a
Corner or Bay 
Window Type, 
the 
CMB Corner WS 
or 
CMB Bay WS 
must be completed.</t>
        </r>
      </text>
    </comment>
    <comment ref="L9" authorId="0" shapeId="0" xr:uid="{00000000-0006-0000-0700-000020000000}">
      <text>
        <r>
          <rPr>
            <sz val="8"/>
            <color indexed="81"/>
            <rFont val="Tahoma"/>
            <family val="2"/>
          </rPr>
          <t>ACT 
Actual Measurements
You have made the allowances.
NAM
No Allowances Made 
The factory will make the deductions.</t>
        </r>
      </text>
    </comment>
    <comment ref="N9" authorId="0" shapeId="0" xr:uid="{00000000-0006-0000-0700-000021000000}">
      <text>
        <r>
          <rPr>
            <sz val="8"/>
            <color indexed="81"/>
            <rFont val="Tahoma"/>
            <family val="2"/>
          </rPr>
          <t>Track Colour options are;
Clear Anodised
Black
White
White Birch
Please note; 
All Blinds are supplied 
with a Clear Anodised Wand.</t>
        </r>
      </text>
    </comment>
    <comment ref="O9" authorId="0" shapeId="0" xr:uid="{00000000-0006-0000-0700-000022000000}">
      <text>
        <r>
          <rPr>
            <sz val="8"/>
            <color indexed="81"/>
            <rFont val="Tahoma"/>
            <family val="2"/>
          </rPr>
          <t xml:space="preserve">
Finish options;
Sewn In Pocket
Bottom Rail</t>
        </r>
      </text>
    </comment>
    <comment ref="P9" authorId="0" shapeId="0" xr:uid="{00000000-0006-0000-0700-000023000000}">
      <text>
        <r>
          <rPr>
            <sz val="8"/>
            <color indexed="81"/>
            <rFont val="Tahoma"/>
            <family val="2"/>
          </rPr>
          <t xml:space="preserve">
Bottom Rail Colour options;
Bright Silver
Clear Anodised
Metallic Black
Mocha
White
White Birch</t>
        </r>
      </text>
    </comment>
    <comment ref="Q9" authorId="0" shapeId="0" xr:uid="{00000000-0006-0000-0700-000024000000}">
      <text>
        <r>
          <rPr>
            <sz val="8"/>
            <color indexed="81"/>
            <rFont val="Tahoma"/>
            <family val="2"/>
          </rPr>
          <t>When
 Standard or Common 
is selected the 
Pelmet Colour 
must be entered.</t>
        </r>
      </text>
    </comment>
    <comment ref="D10" authorId="0" shapeId="0" xr:uid="{00000000-0006-0000-0700-000025000000}">
      <text>
        <r>
          <rPr>
            <sz val="8"/>
            <color indexed="81"/>
            <rFont val="Tahoma"/>
            <family val="2"/>
          </rPr>
          <t>Fabric options are;
Amalfi
Como (Blockout)
Como (Translucent)
Florence
London
Maui
Milan
Pompeii
Rome (Blockout)
Rome (Translucent)
Sunscreen</t>
        </r>
      </text>
    </comment>
    <comment ref="E10" authorId="0" shapeId="0" xr:uid="{00000000-0006-0000-0700-000026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0" authorId="0" shapeId="0" xr:uid="{00000000-0006-0000-0700-000027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0" authorId="0" shapeId="0" xr:uid="{00000000-0006-0000-0700-000028000000}">
      <text>
        <r>
          <rPr>
            <sz val="8"/>
            <color indexed="81"/>
            <rFont val="Tahoma"/>
            <family val="2"/>
          </rPr>
          <t xml:space="preserve">Minimum Height/Drop is 500mm.
Maximum Height/Drop is 3000mm. </t>
        </r>
      </text>
    </comment>
    <comment ref="H10" authorId="0" shapeId="0" xr:uid="{00000000-0006-0000-0700-000029000000}">
      <text>
        <r>
          <rPr>
            <sz val="8"/>
            <color indexed="81"/>
            <rFont val="Tahoma"/>
            <family val="2"/>
          </rPr>
          <t xml:space="preserve">
Panel Quantities 
options;
2
3
4
5
6
7
9
Please note; 
Minimum Panel Width is 400mm.
Maximum Panel Width is 1000mm.</t>
        </r>
      </text>
    </comment>
    <comment ref="I10" authorId="0" shapeId="0" xr:uid="{00000000-0006-0000-0700-00002A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0" authorId="0" shapeId="0" xr:uid="{00000000-0006-0000-0700-00002B000000}">
      <text>
        <r>
          <rPr>
            <sz val="8"/>
            <color indexed="81"/>
            <rFont val="Tahoma"/>
            <family val="2"/>
          </rPr>
          <t>When selecting a
Corner or Bay 
Window Type, 
the 
CMB Corner WS 
or 
CMB Bay WS 
must be completed.</t>
        </r>
      </text>
    </comment>
    <comment ref="L10" authorId="0" shapeId="0" xr:uid="{00000000-0006-0000-0700-00002C000000}">
      <text>
        <r>
          <rPr>
            <sz val="8"/>
            <color indexed="81"/>
            <rFont val="Tahoma"/>
            <family val="2"/>
          </rPr>
          <t>ACT 
Actual Measurements
You have made the allowances.
NAM
No Allowances Made 
The factory will make the deductions.</t>
        </r>
      </text>
    </comment>
    <comment ref="N10" authorId="0" shapeId="0" xr:uid="{00000000-0006-0000-0700-00002D000000}">
      <text>
        <r>
          <rPr>
            <sz val="8"/>
            <color indexed="81"/>
            <rFont val="Tahoma"/>
            <family val="2"/>
          </rPr>
          <t>Track Colour options are;
Clear Anodised
Black
White
White Birch
Please note; 
All Blinds are supplied 
with a Clear Anodised Wand.</t>
        </r>
      </text>
    </comment>
    <comment ref="O10" authorId="0" shapeId="0" xr:uid="{00000000-0006-0000-0700-00002E000000}">
      <text>
        <r>
          <rPr>
            <sz val="8"/>
            <color indexed="81"/>
            <rFont val="Tahoma"/>
            <family val="2"/>
          </rPr>
          <t xml:space="preserve">
Finish options;
Sewn In Pocket
Bottom Rail</t>
        </r>
      </text>
    </comment>
    <comment ref="P10" authorId="0" shapeId="0" xr:uid="{00000000-0006-0000-0700-00002F000000}">
      <text>
        <r>
          <rPr>
            <sz val="8"/>
            <color indexed="81"/>
            <rFont val="Tahoma"/>
            <family val="2"/>
          </rPr>
          <t xml:space="preserve">
Bottom Rail Colour options;
Bright Silver
Clear Anodised
Metallic Black
Mocha
White
White Birch</t>
        </r>
      </text>
    </comment>
    <comment ref="Q10" authorId="0" shapeId="0" xr:uid="{00000000-0006-0000-0700-000030000000}">
      <text>
        <r>
          <rPr>
            <sz val="8"/>
            <color indexed="81"/>
            <rFont val="Tahoma"/>
            <family val="2"/>
          </rPr>
          <t>When
 Standard or Common 
is selected the 
Pelmet Colour 
must be entered.</t>
        </r>
      </text>
    </comment>
    <comment ref="D11" authorId="0" shapeId="0" xr:uid="{00000000-0006-0000-0700-000031000000}">
      <text>
        <r>
          <rPr>
            <sz val="8"/>
            <color indexed="81"/>
            <rFont val="Tahoma"/>
            <family val="2"/>
          </rPr>
          <t>Fabric options are;
Amalfi
Como (Blockout)
Como (Translucent)
Florence
London
Maui
Milan
Pompeii
Rome (Blockout)
Rome (Translucent)
Sunscreen</t>
        </r>
      </text>
    </comment>
    <comment ref="E11" authorId="0" shapeId="0" xr:uid="{00000000-0006-0000-0700-000032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1" authorId="0" shapeId="0" xr:uid="{00000000-0006-0000-0700-000033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1" authorId="0" shapeId="0" xr:uid="{00000000-0006-0000-0700-000034000000}">
      <text>
        <r>
          <rPr>
            <sz val="8"/>
            <color indexed="81"/>
            <rFont val="Tahoma"/>
            <family val="2"/>
          </rPr>
          <t xml:space="preserve">Minimum Height/Drop is 500mm.
Maximum Height/Drop is 3000mm. </t>
        </r>
      </text>
    </comment>
    <comment ref="H11" authorId="0" shapeId="0" xr:uid="{00000000-0006-0000-0700-000035000000}">
      <text>
        <r>
          <rPr>
            <sz val="8"/>
            <color indexed="81"/>
            <rFont val="Tahoma"/>
            <family val="2"/>
          </rPr>
          <t xml:space="preserve">
Panel Quantities 
options;
2
3
4
5
6
7
9
Please note; 
Minimum Panel Width is 400mm.
Maximum Panel Width is 1000mm.</t>
        </r>
      </text>
    </comment>
    <comment ref="I11" authorId="0" shapeId="0" xr:uid="{00000000-0006-0000-0700-000036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1" authorId="0" shapeId="0" xr:uid="{00000000-0006-0000-0700-000037000000}">
      <text>
        <r>
          <rPr>
            <sz val="8"/>
            <color indexed="81"/>
            <rFont val="Tahoma"/>
            <family val="2"/>
          </rPr>
          <t>When selecting a
Corner or Bay 
Window Type, 
the 
CMB Corner WS 
or 
CMB Bay WS 
must be completed.</t>
        </r>
      </text>
    </comment>
    <comment ref="L11" authorId="0" shapeId="0" xr:uid="{00000000-0006-0000-0700-000038000000}">
      <text>
        <r>
          <rPr>
            <sz val="8"/>
            <color indexed="81"/>
            <rFont val="Tahoma"/>
            <family val="2"/>
          </rPr>
          <t>ACT 
Actual Measurements
You have made the allowances.
NAM
No Allowances Made 
The factory will make the deductions.</t>
        </r>
      </text>
    </comment>
    <comment ref="N11" authorId="0" shapeId="0" xr:uid="{00000000-0006-0000-0700-000039000000}">
      <text>
        <r>
          <rPr>
            <sz val="8"/>
            <color indexed="81"/>
            <rFont val="Tahoma"/>
            <family val="2"/>
          </rPr>
          <t>Track Colour options are;
Clear Anodised
Black
White
White Birch
Please note; 
All Blinds are supplied 
with a Clear Anodised Wand.</t>
        </r>
      </text>
    </comment>
    <comment ref="O11" authorId="0" shapeId="0" xr:uid="{00000000-0006-0000-0700-00003A000000}">
      <text>
        <r>
          <rPr>
            <sz val="8"/>
            <color indexed="81"/>
            <rFont val="Tahoma"/>
            <family val="2"/>
          </rPr>
          <t xml:space="preserve">
Finish options;
Sewn In Pocket
Bottom Rail</t>
        </r>
      </text>
    </comment>
    <comment ref="P11" authorId="0" shapeId="0" xr:uid="{00000000-0006-0000-0700-00003B000000}">
      <text>
        <r>
          <rPr>
            <sz val="8"/>
            <color indexed="81"/>
            <rFont val="Tahoma"/>
            <family val="2"/>
          </rPr>
          <t xml:space="preserve">
Bottom Rail Colour options;
Bright Silver
Clear Anodised
Metallic Black
Mocha
White
White Birch</t>
        </r>
      </text>
    </comment>
    <comment ref="Q11" authorId="0" shapeId="0" xr:uid="{00000000-0006-0000-0700-00003C000000}">
      <text>
        <r>
          <rPr>
            <sz val="8"/>
            <color indexed="81"/>
            <rFont val="Tahoma"/>
            <family val="2"/>
          </rPr>
          <t>When
 Standard or Common 
is selected the 
Pelmet Colour 
must be entered.</t>
        </r>
      </text>
    </comment>
    <comment ref="D12" authorId="0" shapeId="0" xr:uid="{00000000-0006-0000-0700-00003D000000}">
      <text>
        <r>
          <rPr>
            <sz val="8"/>
            <color indexed="81"/>
            <rFont val="Tahoma"/>
            <family val="2"/>
          </rPr>
          <t>Fabric options are;
Amalfi
Como (Blockout)
Como (Translucent)
Florence
London
Maui
Milan
Pompeii
Rome (Blockout)
Rome (Translucent)
Sunscreen</t>
        </r>
      </text>
    </comment>
    <comment ref="E12" authorId="0" shapeId="0" xr:uid="{00000000-0006-0000-0700-00003E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2" authorId="0" shapeId="0" xr:uid="{00000000-0006-0000-0700-00003F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2" authorId="0" shapeId="0" xr:uid="{00000000-0006-0000-0700-000040000000}">
      <text>
        <r>
          <rPr>
            <sz val="8"/>
            <color indexed="81"/>
            <rFont val="Tahoma"/>
            <family val="2"/>
          </rPr>
          <t xml:space="preserve">Minimum Height/Drop is 500mm.
Maximum Height/Drop is 3000mm. </t>
        </r>
      </text>
    </comment>
    <comment ref="H12" authorId="0" shapeId="0" xr:uid="{00000000-0006-0000-0700-000041000000}">
      <text>
        <r>
          <rPr>
            <sz val="8"/>
            <color indexed="81"/>
            <rFont val="Tahoma"/>
            <family val="2"/>
          </rPr>
          <t xml:space="preserve">
Panel Quantities 
options;
2
3
4
5
6
7
9
Please note; 
Minimum Panel Width is 400mm.
Maximum Panel Width is 1000mm.</t>
        </r>
      </text>
    </comment>
    <comment ref="I12" authorId="0" shapeId="0" xr:uid="{00000000-0006-0000-0700-000042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2" authorId="0" shapeId="0" xr:uid="{00000000-0006-0000-0700-000043000000}">
      <text>
        <r>
          <rPr>
            <sz val="8"/>
            <color indexed="81"/>
            <rFont val="Tahoma"/>
            <family val="2"/>
          </rPr>
          <t>When selecting a
Corner or Bay 
Window Type, 
the 
CMB Corner WS 
or 
CMB Bay WS 
must be completed.</t>
        </r>
      </text>
    </comment>
    <comment ref="L12" authorId="0" shapeId="0" xr:uid="{00000000-0006-0000-0700-000044000000}">
      <text>
        <r>
          <rPr>
            <sz val="8"/>
            <color indexed="81"/>
            <rFont val="Tahoma"/>
            <family val="2"/>
          </rPr>
          <t>ACT 
Actual Measurements
You have made the allowances.
NAM
No Allowances Made 
The factory will make the deductions.</t>
        </r>
      </text>
    </comment>
    <comment ref="N12" authorId="0" shapeId="0" xr:uid="{00000000-0006-0000-0700-000045000000}">
      <text>
        <r>
          <rPr>
            <sz val="8"/>
            <color indexed="81"/>
            <rFont val="Tahoma"/>
            <family val="2"/>
          </rPr>
          <t>Track Colour options are;
Clear Anodised
Black
White
White Birch
Please note; 
All Blinds are supplied 
with a Clear Anodised Wand.</t>
        </r>
      </text>
    </comment>
    <comment ref="O12" authorId="0" shapeId="0" xr:uid="{00000000-0006-0000-0700-000046000000}">
      <text>
        <r>
          <rPr>
            <sz val="8"/>
            <color indexed="81"/>
            <rFont val="Tahoma"/>
            <family val="2"/>
          </rPr>
          <t xml:space="preserve">
Finish options;
Sewn In Pocket
Bottom Rail</t>
        </r>
      </text>
    </comment>
    <comment ref="P12" authorId="0" shapeId="0" xr:uid="{00000000-0006-0000-0700-000047000000}">
      <text>
        <r>
          <rPr>
            <sz val="8"/>
            <color indexed="81"/>
            <rFont val="Tahoma"/>
            <family val="2"/>
          </rPr>
          <t xml:space="preserve">
Bottom Rail Colour options;
Bright Silver
Clear Anodised
Metallic Black
Mocha
White
White Birch</t>
        </r>
      </text>
    </comment>
    <comment ref="Q12" authorId="0" shapeId="0" xr:uid="{00000000-0006-0000-0700-000048000000}">
      <text>
        <r>
          <rPr>
            <sz val="8"/>
            <color indexed="81"/>
            <rFont val="Tahoma"/>
            <family val="2"/>
          </rPr>
          <t>When
 Standard or Common 
is selected the 
Pelmet Colour 
must be entered.</t>
        </r>
      </text>
    </comment>
    <comment ref="D13" authorId="0" shapeId="0" xr:uid="{00000000-0006-0000-0700-000049000000}">
      <text>
        <r>
          <rPr>
            <sz val="8"/>
            <color indexed="81"/>
            <rFont val="Tahoma"/>
            <family val="2"/>
          </rPr>
          <t>Fabric options are;
Amalfi
Como (Blockout)
Como (Translucent)
Florence
London
Maui
Milan
Pompeii
Rome (Blockout)
Rome (Translucent)
Sunscreen</t>
        </r>
      </text>
    </comment>
    <comment ref="E13" authorId="0" shapeId="0" xr:uid="{00000000-0006-0000-0700-00004A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3" authorId="0" shapeId="0" xr:uid="{00000000-0006-0000-0700-00004B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3" authorId="0" shapeId="0" xr:uid="{00000000-0006-0000-0700-00004C000000}">
      <text>
        <r>
          <rPr>
            <sz val="8"/>
            <color indexed="81"/>
            <rFont val="Tahoma"/>
            <family val="2"/>
          </rPr>
          <t xml:space="preserve">Minimum Height/Drop is 500mm.
Maximum Height/Drop is 3000mm. </t>
        </r>
      </text>
    </comment>
    <comment ref="H13" authorId="0" shapeId="0" xr:uid="{00000000-0006-0000-0700-00004D000000}">
      <text>
        <r>
          <rPr>
            <sz val="8"/>
            <color indexed="81"/>
            <rFont val="Tahoma"/>
            <family val="2"/>
          </rPr>
          <t xml:space="preserve">
Panel Quantities 
options;
2
3
4
5
6
7
9
Please note; 
Minimum Panel Width is 400mm.
Maximum Panel Width is 1000mm.</t>
        </r>
      </text>
    </comment>
    <comment ref="I13" authorId="0" shapeId="0" xr:uid="{00000000-0006-0000-0700-00004E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3" authorId="0" shapeId="0" xr:uid="{00000000-0006-0000-0700-00004F000000}">
      <text>
        <r>
          <rPr>
            <sz val="8"/>
            <color indexed="81"/>
            <rFont val="Tahoma"/>
            <family val="2"/>
          </rPr>
          <t>When selecting a
Corner or Bay 
Window Type, 
the 
CMB Corner WS 
or 
CMB Bay WS 
must be completed.</t>
        </r>
      </text>
    </comment>
    <comment ref="L13" authorId="0" shapeId="0" xr:uid="{00000000-0006-0000-0700-000050000000}">
      <text>
        <r>
          <rPr>
            <sz val="8"/>
            <color indexed="81"/>
            <rFont val="Tahoma"/>
            <family val="2"/>
          </rPr>
          <t>ACT 
Actual Measurements
You have made the allowances.
NAM
No Allowances Made 
The factory will make the deductions.</t>
        </r>
      </text>
    </comment>
    <comment ref="N13" authorId="0" shapeId="0" xr:uid="{00000000-0006-0000-0700-000051000000}">
      <text>
        <r>
          <rPr>
            <sz val="8"/>
            <color indexed="81"/>
            <rFont val="Tahoma"/>
            <family val="2"/>
          </rPr>
          <t>Track Colour options are;
Clear Anodised
Black
White
White Birch
Please note; 
All Blinds are supplied 
with a Clear Anodised Wand.</t>
        </r>
      </text>
    </comment>
    <comment ref="O13" authorId="0" shapeId="0" xr:uid="{00000000-0006-0000-0700-000052000000}">
      <text>
        <r>
          <rPr>
            <sz val="8"/>
            <color indexed="81"/>
            <rFont val="Tahoma"/>
            <family val="2"/>
          </rPr>
          <t xml:space="preserve">
Finish options;
Sewn In Pocket
Bottom Rail</t>
        </r>
      </text>
    </comment>
    <comment ref="P13" authorId="0" shapeId="0" xr:uid="{00000000-0006-0000-0700-000053000000}">
      <text>
        <r>
          <rPr>
            <sz val="8"/>
            <color indexed="81"/>
            <rFont val="Tahoma"/>
            <family val="2"/>
          </rPr>
          <t xml:space="preserve">
Bottom Rail Colour options;
Bright Silver
Clear Anodised
Metallic Black
Mocha
White
White Birch</t>
        </r>
      </text>
    </comment>
    <comment ref="Q13" authorId="0" shapeId="0" xr:uid="{00000000-0006-0000-0700-000054000000}">
      <text>
        <r>
          <rPr>
            <sz val="8"/>
            <color indexed="81"/>
            <rFont val="Tahoma"/>
            <family val="2"/>
          </rPr>
          <t>When
 Standard or Common 
is selected the 
Pelmet Colour 
must be entered.</t>
        </r>
      </text>
    </comment>
    <comment ref="D14" authorId="0" shapeId="0" xr:uid="{00000000-0006-0000-0700-000055000000}">
      <text>
        <r>
          <rPr>
            <sz val="8"/>
            <color indexed="81"/>
            <rFont val="Tahoma"/>
            <family val="2"/>
          </rPr>
          <t>Fabric options are;
Amalfi
Como (Blockout)
Como (Translucent)
Florence
London
Maui
Milan
Pompeii
Rome (Blockout)
Rome (Translucent)
Sunscreen</t>
        </r>
      </text>
    </comment>
    <comment ref="E14" authorId="0" shapeId="0" xr:uid="{00000000-0006-0000-0700-000056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4" authorId="0" shapeId="0" xr:uid="{00000000-0006-0000-0700-000057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4" authorId="0" shapeId="0" xr:uid="{00000000-0006-0000-0700-000058000000}">
      <text>
        <r>
          <rPr>
            <sz val="8"/>
            <color indexed="81"/>
            <rFont val="Tahoma"/>
            <family val="2"/>
          </rPr>
          <t xml:space="preserve">Minimum Height/Drop is 500mm.
Maximum Height/Drop is 3000mm. </t>
        </r>
      </text>
    </comment>
    <comment ref="H14" authorId="0" shapeId="0" xr:uid="{00000000-0006-0000-0700-000059000000}">
      <text>
        <r>
          <rPr>
            <sz val="8"/>
            <color indexed="81"/>
            <rFont val="Tahoma"/>
            <family val="2"/>
          </rPr>
          <t xml:space="preserve">
Panel Quantities 
options;
2
3
4
5
6
7
9
Please note; 
Minimum Panel Width is 400mm.
Maximum Panel Width is 1000mm.</t>
        </r>
      </text>
    </comment>
    <comment ref="I14" authorId="0" shapeId="0" xr:uid="{00000000-0006-0000-0700-00005A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4" authorId="0" shapeId="0" xr:uid="{00000000-0006-0000-0700-00005B000000}">
      <text>
        <r>
          <rPr>
            <sz val="8"/>
            <color indexed="81"/>
            <rFont val="Tahoma"/>
            <family val="2"/>
          </rPr>
          <t>When selecting a
Corner or Bay 
Window Type, 
the 
CMB Corner WS 
or 
CMB Bay WS 
must be completed.</t>
        </r>
      </text>
    </comment>
    <comment ref="L14" authorId="0" shapeId="0" xr:uid="{00000000-0006-0000-0700-00005C000000}">
      <text>
        <r>
          <rPr>
            <sz val="8"/>
            <color indexed="81"/>
            <rFont val="Tahoma"/>
            <family val="2"/>
          </rPr>
          <t>ACT 
Actual Measurements
You have made the allowances.
NAM
No Allowances Made 
The factory will make the deductions.</t>
        </r>
      </text>
    </comment>
    <comment ref="N14" authorId="0" shapeId="0" xr:uid="{00000000-0006-0000-0700-00005D000000}">
      <text>
        <r>
          <rPr>
            <sz val="8"/>
            <color indexed="81"/>
            <rFont val="Tahoma"/>
            <family val="2"/>
          </rPr>
          <t>Track Colour options are;
Clear Anodised
Black
White
White Birch
Please note; 
All Blinds are supplied 
with a Clear Anodised Wand.</t>
        </r>
      </text>
    </comment>
    <comment ref="O14" authorId="0" shapeId="0" xr:uid="{00000000-0006-0000-0700-00005E000000}">
      <text>
        <r>
          <rPr>
            <sz val="8"/>
            <color indexed="81"/>
            <rFont val="Tahoma"/>
            <family val="2"/>
          </rPr>
          <t xml:space="preserve">
Finish options;
Sewn In Pocket
Bottom Rail</t>
        </r>
      </text>
    </comment>
    <comment ref="P14" authorId="0" shapeId="0" xr:uid="{00000000-0006-0000-0700-00005F000000}">
      <text>
        <r>
          <rPr>
            <sz val="8"/>
            <color indexed="81"/>
            <rFont val="Tahoma"/>
            <family val="2"/>
          </rPr>
          <t xml:space="preserve">
Bottom Rail Colour options;
Bright Silver
Clear Anodised
Metallic Black
Mocha
White
White Birch</t>
        </r>
      </text>
    </comment>
    <comment ref="Q14" authorId="0" shapeId="0" xr:uid="{00000000-0006-0000-0700-000060000000}">
      <text>
        <r>
          <rPr>
            <sz val="8"/>
            <color indexed="81"/>
            <rFont val="Tahoma"/>
            <family val="2"/>
          </rPr>
          <t>When
 Standard or Common 
is selected the 
Pelmet Colour 
must be entered.</t>
        </r>
      </text>
    </comment>
    <comment ref="D15" authorId="0" shapeId="0" xr:uid="{00000000-0006-0000-0700-000061000000}">
      <text>
        <r>
          <rPr>
            <sz val="8"/>
            <color indexed="81"/>
            <rFont val="Tahoma"/>
            <family val="2"/>
          </rPr>
          <t>Fabric options are;
Amalfi
Como (Blockout)
Como (Translucent)
Florence
London
Maui
Milan
Pompeii
Rome (Blockout)
Rome (Translucent)
Sunscreen</t>
        </r>
      </text>
    </comment>
    <comment ref="E15" authorId="0" shapeId="0" xr:uid="{00000000-0006-0000-0700-000062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5" authorId="0" shapeId="0" xr:uid="{00000000-0006-0000-0700-000063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5" authorId="0" shapeId="0" xr:uid="{00000000-0006-0000-0700-000064000000}">
      <text>
        <r>
          <rPr>
            <sz val="8"/>
            <color indexed="81"/>
            <rFont val="Tahoma"/>
            <family val="2"/>
          </rPr>
          <t xml:space="preserve">Minimum Height/Drop is 500mm.
Maximum Height/Drop is 3000mm. </t>
        </r>
      </text>
    </comment>
    <comment ref="H15" authorId="0" shapeId="0" xr:uid="{00000000-0006-0000-0700-000065000000}">
      <text>
        <r>
          <rPr>
            <sz val="8"/>
            <color indexed="81"/>
            <rFont val="Tahoma"/>
            <family val="2"/>
          </rPr>
          <t xml:space="preserve">
Panel Quantities 
options;
2
3
4
5
6
7
9
Please note; 
Minimum Panel Width is 400mm.
Maximum Panel Width is 1000mm.</t>
        </r>
      </text>
    </comment>
    <comment ref="I15" authorId="0" shapeId="0" xr:uid="{00000000-0006-0000-0700-000066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5" authorId="0" shapeId="0" xr:uid="{00000000-0006-0000-0700-000067000000}">
      <text>
        <r>
          <rPr>
            <sz val="8"/>
            <color indexed="81"/>
            <rFont val="Tahoma"/>
            <family val="2"/>
          </rPr>
          <t>When selecting a
Corner or Bay 
Window Type, 
the 
CMB Corner WS 
or 
CMB Bay WS 
must be completed.</t>
        </r>
      </text>
    </comment>
    <comment ref="L15" authorId="0" shapeId="0" xr:uid="{00000000-0006-0000-0700-000068000000}">
      <text>
        <r>
          <rPr>
            <sz val="8"/>
            <color indexed="81"/>
            <rFont val="Tahoma"/>
            <family val="2"/>
          </rPr>
          <t>ACT 
Actual Measurements
You have made the allowances.
NAM
No Allowances Made 
The factory will make the deductions.</t>
        </r>
      </text>
    </comment>
    <comment ref="N15" authorId="0" shapeId="0" xr:uid="{00000000-0006-0000-0700-000069000000}">
      <text>
        <r>
          <rPr>
            <sz val="8"/>
            <color indexed="81"/>
            <rFont val="Tahoma"/>
            <family val="2"/>
          </rPr>
          <t>Track Colour options are;
Clear Anodised
Black
White
White Birch
Please note; 
All Blinds are supplied 
with a Clear Anodised Wand.</t>
        </r>
      </text>
    </comment>
    <comment ref="O15" authorId="0" shapeId="0" xr:uid="{00000000-0006-0000-0700-00006A000000}">
      <text>
        <r>
          <rPr>
            <sz val="8"/>
            <color indexed="81"/>
            <rFont val="Tahoma"/>
            <family val="2"/>
          </rPr>
          <t xml:space="preserve">
Finish options;
Sewn In Pocket
Bottom Rail</t>
        </r>
      </text>
    </comment>
    <comment ref="P15" authorId="0" shapeId="0" xr:uid="{00000000-0006-0000-0700-00006B000000}">
      <text>
        <r>
          <rPr>
            <sz val="8"/>
            <color indexed="81"/>
            <rFont val="Tahoma"/>
            <family val="2"/>
          </rPr>
          <t xml:space="preserve">
Bottom Rail Colour options;
Bright Silver
Clear Anodised
Metallic Black
Mocha
White
White Birch</t>
        </r>
      </text>
    </comment>
    <comment ref="Q15" authorId="0" shapeId="0" xr:uid="{00000000-0006-0000-0700-00006C000000}">
      <text>
        <r>
          <rPr>
            <sz val="8"/>
            <color indexed="81"/>
            <rFont val="Tahoma"/>
            <family val="2"/>
          </rPr>
          <t>When
 Standard or Common 
is selected the 
Pelmet Colour 
must be entered.</t>
        </r>
      </text>
    </comment>
    <comment ref="D16" authorId="0" shapeId="0" xr:uid="{00000000-0006-0000-0700-00006D000000}">
      <text>
        <r>
          <rPr>
            <sz val="8"/>
            <color indexed="81"/>
            <rFont val="Tahoma"/>
            <family val="2"/>
          </rPr>
          <t>Fabric options are;
Amalfi
Como (Blockout)
Como (Translucent)
Florence
London
Maui
Milan
Pompeii
Rome (Blockout)
Rome (Translucent)
Sunscreen</t>
        </r>
      </text>
    </comment>
    <comment ref="E16" authorId="0" shapeId="0" xr:uid="{00000000-0006-0000-0700-00006E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6" authorId="0" shapeId="0" xr:uid="{00000000-0006-0000-0700-00006F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6" authorId="0" shapeId="0" xr:uid="{00000000-0006-0000-0700-000070000000}">
      <text>
        <r>
          <rPr>
            <sz val="8"/>
            <color indexed="81"/>
            <rFont val="Tahoma"/>
            <family val="2"/>
          </rPr>
          <t xml:space="preserve">Minimum Height/Drop is 500mm.
Maximum Height/Drop is 3000mm. </t>
        </r>
      </text>
    </comment>
    <comment ref="H16" authorId="0" shapeId="0" xr:uid="{00000000-0006-0000-0700-000071000000}">
      <text>
        <r>
          <rPr>
            <sz val="8"/>
            <color indexed="81"/>
            <rFont val="Tahoma"/>
            <family val="2"/>
          </rPr>
          <t xml:space="preserve">
Panel Quantities 
options;
2
3
4
5
6
7
9
Please note; 
Minimum Panel Width is 400mm.
Maximum Panel Width is 1000mm.</t>
        </r>
      </text>
    </comment>
    <comment ref="I16" authorId="0" shapeId="0" xr:uid="{00000000-0006-0000-0700-000072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6" authorId="0" shapeId="0" xr:uid="{00000000-0006-0000-0700-000073000000}">
      <text>
        <r>
          <rPr>
            <sz val="8"/>
            <color indexed="81"/>
            <rFont val="Tahoma"/>
            <family val="2"/>
          </rPr>
          <t>When selecting a
Corner or Bay 
Window Type, 
the 
CMB Corner WS 
or 
CMB Bay WS 
must be completed.</t>
        </r>
      </text>
    </comment>
    <comment ref="L16" authorId="0" shapeId="0" xr:uid="{00000000-0006-0000-0700-000074000000}">
      <text>
        <r>
          <rPr>
            <sz val="8"/>
            <color indexed="81"/>
            <rFont val="Tahoma"/>
            <family val="2"/>
          </rPr>
          <t>ACT 
Actual Measurements
You have made the allowances.
NAM
No Allowances Made 
The factory will make the deductions.</t>
        </r>
      </text>
    </comment>
    <comment ref="N16" authorId="0" shapeId="0" xr:uid="{00000000-0006-0000-0700-000075000000}">
      <text>
        <r>
          <rPr>
            <sz val="8"/>
            <color indexed="81"/>
            <rFont val="Tahoma"/>
            <family val="2"/>
          </rPr>
          <t>Track Colour options are;
Clear Anodised
Black
White
White Birch
Please note; 
All Blinds are supplied 
with a Clear Anodised Wand.</t>
        </r>
      </text>
    </comment>
    <comment ref="O16" authorId="0" shapeId="0" xr:uid="{00000000-0006-0000-0700-000076000000}">
      <text>
        <r>
          <rPr>
            <sz val="8"/>
            <color indexed="81"/>
            <rFont val="Tahoma"/>
            <family val="2"/>
          </rPr>
          <t xml:space="preserve">
Finish options;
Sewn In Pocket
Bottom Rail</t>
        </r>
      </text>
    </comment>
    <comment ref="P16" authorId="0" shapeId="0" xr:uid="{00000000-0006-0000-0700-000077000000}">
      <text>
        <r>
          <rPr>
            <sz val="8"/>
            <color indexed="81"/>
            <rFont val="Tahoma"/>
            <family val="2"/>
          </rPr>
          <t xml:space="preserve">
Bottom Rail Colour options;
Bright Silver
Clear Anodised
Metallic Black
Mocha
White
White Birch</t>
        </r>
      </text>
    </comment>
    <comment ref="Q16" authorId="0" shapeId="0" xr:uid="{00000000-0006-0000-0700-000078000000}">
      <text>
        <r>
          <rPr>
            <sz val="8"/>
            <color indexed="81"/>
            <rFont val="Tahoma"/>
            <family val="2"/>
          </rPr>
          <t>When
 Standard or Common 
is selected the 
Pelmet Colour 
must be entered.</t>
        </r>
      </text>
    </comment>
    <comment ref="D17" authorId="0" shapeId="0" xr:uid="{00000000-0006-0000-0700-000079000000}">
      <text>
        <r>
          <rPr>
            <sz val="8"/>
            <color indexed="81"/>
            <rFont val="Tahoma"/>
            <family val="2"/>
          </rPr>
          <t>Fabric options are;
Amalfi
Como (Blockout)
Como (Translucent)
Florence
London
Maui
Milan
Pompeii
Rome (Blockout)
Rome (Translucent)
Sunscreen</t>
        </r>
      </text>
    </comment>
    <comment ref="E17" authorId="0" shapeId="0" xr:uid="{00000000-0006-0000-0700-00007A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7" authorId="0" shapeId="0" xr:uid="{00000000-0006-0000-0700-00007B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7" authorId="0" shapeId="0" xr:uid="{00000000-0006-0000-0700-00007C000000}">
      <text>
        <r>
          <rPr>
            <sz val="8"/>
            <color indexed="81"/>
            <rFont val="Tahoma"/>
            <family val="2"/>
          </rPr>
          <t xml:space="preserve">Minimum Height/Drop is 500mm.
Maximum Height/Drop is 3000mm. </t>
        </r>
      </text>
    </comment>
    <comment ref="H17" authorId="0" shapeId="0" xr:uid="{00000000-0006-0000-0700-00007D000000}">
      <text>
        <r>
          <rPr>
            <sz val="8"/>
            <color indexed="81"/>
            <rFont val="Tahoma"/>
            <family val="2"/>
          </rPr>
          <t xml:space="preserve">
Panel Quantities 
options;
2
3
4
5
6
7
9
Please note; 
Minimum Panel Width is 400mm.
Maximum Panel Width is 1000mm.</t>
        </r>
      </text>
    </comment>
    <comment ref="I17" authorId="0" shapeId="0" xr:uid="{00000000-0006-0000-0700-00007E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7" authorId="0" shapeId="0" xr:uid="{00000000-0006-0000-0700-00007F000000}">
      <text>
        <r>
          <rPr>
            <sz val="8"/>
            <color indexed="81"/>
            <rFont val="Tahoma"/>
            <family val="2"/>
          </rPr>
          <t>When selecting a
Corner or Bay 
Window Type, 
the 
CMB Corner WS 
or 
CMB Bay WS 
must be completed.</t>
        </r>
      </text>
    </comment>
    <comment ref="L17" authorId="0" shapeId="0" xr:uid="{00000000-0006-0000-0700-000080000000}">
      <text>
        <r>
          <rPr>
            <sz val="8"/>
            <color indexed="81"/>
            <rFont val="Tahoma"/>
            <family val="2"/>
          </rPr>
          <t>ACT 
Actual Measurements
You have made the allowances.
NAM
No Allowances Made 
The factory will make the deductions.</t>
        </r>
      </text>
    </comment>
    <comment ref="N17" authorId="0" shapeId="0" xr:uid="{00000000-0006-0000-0700-000081000000}">
      <text>
        <r>
          <rPr>
            <sz val="8"/>
            <color indexed="81"/>
            <rFont val="Tahoma"/>
            <family val="2"/>
          </rPr>
          <t>Track Colour options are;
Clear Anodised
Black
White
White Birch
Please note; 
All Blinds are supplied 
with a Clear Anodised Wand.</t>
        </r>
      </text>
    </comment>
    <comment ref="O17" authorId="0" shapeId="0" xr:uid="{00000000-0006-0000-0700-000082000000}">
      <text>
        <r>
          <rPr>
            <sz val="8"/>
            <color indexed="81"/>
            <rFont val="Tahoma"/>
            <family val="2"/>
          </rPr>
          <t xml:space="preserve">
Finish options;
Sewn In Pocket
Bottom Rail</t>
        </r>
      </text>
    </comment>
    <comment ref="P17" authorId="0" shapeId="0" xr:uid="{00000000-0006-0000-0700-000083000000}">
      <text>
        <r>
          <rPr>
            <sz val="8"/>
            <color indexed="81"/>
            <rFont val="Tahoma"/>
            <family val="2"/>
          </rPr>
          <t xml:space="preserve">
Bottom Rail Colour options;
Bright Silver
Clear Anodised
Metallic Black
Mocha
White
White Birch</t>
        </r>
      </text>
    </comment>
    <comment ref="Q17" authorId="0" shapeId="0" xr:uid="{00000000-0006-0000-0700-000084000000}">
      <text>
        <r>
          <rPr>
            <sz val="8"/>
            <color indexed="81"/>
            <rFont val="Tahoma"/>
            <family val="2"/>
          </rPr>
          <t>When
 Standard or Common 
is selected the 
Pelmet Colour 
must be entered.</t>
        </r>
      </text>
    </comment>
    <comment ref="D18" authorId="0" shapeId="0" xr:uid="{00000000-0006-0000-0700-000085000000}">
      <text>
        <r>
          <rPr>
            <sz val="8"/>
            <color indexed="81"/>
            <rFont val="Tahoma"/>
            <family val="2"/>
          </rPr>
          <t>Fabric options are;
Amalfi
Como (Blockout)
Como (Translucent)
Florence
London
Maui
Milan
Pompeii
Rome (Blockout)
Rome (Translucent)
Sunscreen</t>
        </r>
      </text>
    </comment>
    <comment ref="E18" authorId="0" shapeId="0" xr:uid="{00000000-0006-0000-0700-000086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8" authorId="0" shapeId="0" xr:uid="{00000000-0006-0000-0700-000087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8" authorId="0" shapeId="0" xr:uid="{00000000-0006-0000-0700-000088000000}">
      <text>
        <r>
          <rPr>
            <sz val="8"/>
            <color indexed="81"/>
            <rFont val="Tahoma"/>
            <family val="2"/>
          </rPr>
          <t xml:space="preserve">Minimum Height/Drop is 500mm.
Maximum Height/Drop is 3000mm. </t>
        </r>
      </text>
    </comment>
    <comment ref="H18" authorId="0" shapeId="0" xr:uid="{00000000-0006-0000-0700-000089000000}">
      <text>
        <r>
          <rPr>
            <sz val="8"/>
            <color indexed="81"/>
            <rFont val="Tahoma"/>
            <family val="2"/>
          </rPr>
          <t xml:space="preserve">
Panel Quantities 
options;
2
3
4
5
6
7
9
Please note; 
Minimum Panel Width is 400mm.
Maximum Panel Width is 1000mm.</t>
        </r>
      </text>
    </comment>
    <comment ref="I18" authorId="0" shapeId="0" xr:uid="{00000000-0006-0000-0700-00008A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8" authorId="0" shapeId="0" xr:uid="{00000000-0006-0000-0700-00008B000000}">
      <text>
        <r>
          <rPr>
            <sz val="8"/>
            <color indexed="81"/>
            <rFont val="Tahoma"/>
            <family val="2"/>
          </rPr>
          <t>When selecting a
Corner or Bay 
Window Type, 
the 
CMB Corner WS 
or 
CMB Bay WS 
must be completed.</t>
        </r>
      </text>
    </comment>
    <comment ref="L18" authorId="0" shapeId="0" xr:uid="{00000000-0006-0000-0700-00008C000000}">
      <text>
        <r>
          <rPr>
            <sz val="8"/>
            <color indexed="81"/>
            <rFont val="Tahoma"/>
            <family val="2"/>
          </rPr>
          <t>ACT 
Actual Measurements
You have made the allowances.
NAM
No Allowances Made 
The factory will make the deductions.</t>
        </r>
      </text>
    </comment>
    <comment ref="N18" authorId="0" shapeId="0" xr:uid="{00000000-0006-0000-0700-00008D000000}">
      <text>
        <r>
          <rPr>
            <sz val="8"/>
            <color indexed="81"/>
            <rFont val="Tahoma"/>
            <family val="2"/>
          </rPr>
          <t>Track Colour options are;
Clear Anodised
Black
White
White Birch
Please note; 
All Blinds are supplied 
with a Clear Anodised Wand.</t>
        </r>
      </text>
    </comment>
    <comment ref="O18" authorId="0" shapeId="0" xr:uid="{00000000-0006-0000-0700-00008E000000}">
      <text>
        <r>
          <rPr>
            <sz val="8"/>
            <color indexed="81"/>
            <rFont val="Tahoma"/>
            <family val="2"/>
          </rPr>
          <t xml:space="preserve">
Finish options;
Sewn In Pocket
Bottom Rail</t>
        </r>
      </text>
    </comment>
    <comment ref="P18" authorId="0" shapeId="0" xr:uid="{00000000-0006-0000-0700-00008F000000}">
      <text>
        <r>
          <rPr>
            <sz val="8"/>
            <color indexed="81"/>
            <rFont val="Tahoma"/>
            <family val="2"/>
          </rPr>
          <t xml:space="preserve">
Bottom Rail Colour options;
Bright Silver
Clear Anodised
Metallic Black
Mocha
White
White Birch</t>
        </r>
      </text>
    </comment>
    <comment ref="Q18" authorId="0" shapeId="0" xr:uid="{00000000-0006-0000-0700-000090000000}">
      <text>
        <r>
          <rPr>
            <sz val="8"/>
            <color indexed="81"/>
            <rFont val="Tahoma"/>
            <family val="2"/>
          </rPr>
          <t>When
 Standard or Common 
is selected the 
Pelmet Colour 
must be entered.</t>
        </r>
      </text>
    </comment>
    <comment ref="D19" authorId="0" shapeId="0" xr:uid="{00000000-0006-0000-0700-000091000000}">
      <text>
        <r>
          <rPr>
            <sz val="8"/>
            <color indexed="81"/>
            <rFont val="Tahoma"/>
            <family val="2"/>
          </rPr>
          <t>Fabric options are;
Amalfi
Como (Blockout)
Como (Translucent)
Florence
London
Maui
Milan
Pompeii
Rome (Blockout)
Rome (Translucent)
Sunscreen</t>
        </r>
      </text>
    </comment>
    <comment ref="E19" authorId="0" shapeId="0" xr:uid="{00000000-0006-0000-0700-000092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9" authorId="0" shapeId="0" xr:uid="{00000000-0006-0000-0700-000093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9" authorId="0" shapeId="0" xr:uid="{00000000-0006-0000-0700-000094000000}">
      <text>
        <r>
          <rPr>
            <sz val="8"/>
            <color indexed="81"/>
            <rFont val="Tahoma"/>
            <family val="2"/>
          </rPr>
          <t xml:space="preserve">Minimum Height/Drop is 500mm.
Maximum Height/Drop is 3000mm. </t>
        </r>
      </text>
    </comment>
    <comment ref="H19" authorId="0" shapeId="0" xr:uid="{00000000-0006-0000-0700-000095000000}">
      <text>
        <r>
          <rPr>
            <sz val="8"/>
            <color indexed="81"/>
            <rFont val="Tahoma"/>
            <family val="2"/>
          </rPr>
          <t xml:space="preserve">
Panel Quantities 
options;
2
3
4
5
6
7
9
Please note; 
Minimum Panel Width is 400mm.
Maximum Panel Width is 1000mm.</t>
        </r>
      </text>
    </comment>
    <comment ref="I19" authorId="0" shapeId="0" xr:uid="{00000000-0006-0000-0700-000096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9" authorId="0" shapeId="0" xr:uid="{00000000-0006-0000-0700-000097000000}">
      <text>
        <r>
          <rPr>
            <sz val="8"/>
            <color indexed="81"/>
            <rFont val="Tahoma"/>
            <family val="2"/>
          </rPr>
          <t>When selecting a
Corner or Bay 
Window Type, 
the 
CMB Corner WS 
or 
CMB Bay WS 
must be completed.</t>
        </r>
      </text>
    </comment>
    <comment ref="L19" authorId="0" shapeId="0" xr:uid="{00000000-0006-0000-0700-000098000000}">
      <text>
        <r>
          <rPr>
            <sz val="8"/>
            <color indexed="81"/>
            <rFont val="Tahoma"/>
            <family val="2"/>
          </rPr>
          <t>ACT 
Actual Measurements
You have made the allowances.
NAM
No Allowances Made 
The factory will make the deductions.</t>
        </r>
      </text>
    </comment>
    <comment ref="N19" authorId="0" shapeId="0" xr:uid="{00000000-0006-0000-0700-000099000000}">
      <text>
        <r>
          <rPr>
            <sz val="8"/>
            <color indexed="81"/>
            <rFont val="Tahoma"/>
            <family val="2"/>
          </rPr>
          <t>Track Colour options are;
Clear Anodised
Black
White
White Birch
Please note; 
All Blinds are supplied 
with a Clear Anodised Wand.</t>
        </r>
      </text>
    </comment>
    <comment ref="O19" authorId="0" shapeId="0" xr:uid="{00000000-0006-0000-0700-00009A000000}">
      <text>
        <r>
          <rPr>
            <sz val="8"/>
            <color indexed="81"/>
            <rFont val="Tahoma"/>
            <family val="2"/>
          </rPr>
          <t xml:space="preserve">
Finish options;
Sewn In Pocket
Bottom Rail</t>
        </r>
      </text>
    </comment>
    <comment ref="P19" authorId="0" shapeId="0" xr:uid="{00000000-0006-0000-0700-00009B000000}">
      <text>
        <r>
          <rPr>
            <sz val="8"/>
            <color indexed="81"/>
            <rFont val="Tahoma"/>
            <family val="2"/>
          </rPr>
          <t xml:space="preserve">
Bottom Rail Colour options;
Bright Silver
Clear Anodised
Metallic Black
Mocha
White
White Birch</t>
        </r>
      </text>
    </comment>
    <comment ref="Q19" authorId="0" shapeId="0" xr:uid="{00000000-0006-0000-0700-00009C000000}">
      <text>
        <r>
          <rPr>
            <sz val="8"/>
            <color indexed="81"/>
            <rFont val="Tahoma"/>
            <family val="2"/>
          </rPr>
          <t>When
 Standard or Common 
is selected the 
Pelmet Colour 
must be entered.</t>
        </r>
      </text>
    </comment>
    <comment ref="D20" authorId="0" shapeId="0" xr:uid="{00000000-0006-0000-0700-00009D000000}">
      <text>
        <r>
          <rPr>
            <sz val="8"/>
            <color indexed="81"/>
            <rFont val="Tahoma"/>
            <family val="2"/>
          </rPr>
          <t>Fabric options are;
Amalfi
Como (Blockout)
Como (Translucent)
Florence
London
Maui
Milan
Pompeii
Rome (Blockout)
Rome (Translucent)
Sunscreen</t>
        </r>
      </text>
    </comment>
    <comment ref="E20" authorId="0" shapeId="0" xr:uid="{00000000-0006-0000-0700-00009E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0" authorId="0" shapeId="0" xr:uid="{00000000-0006-0000-0700-00009F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0" authorId="0" shapeId="0" xr:uid="{00000000-0006-0000-0700-0000A0000000}">
      <text>
        <r>
          <rPr>
            <sz val="8"/>
            <color indexed="81"/>
            <rFont val="Tahoma"/>
            <family val="2"/>
          </rPr>
          <t xml:space="preserve">Minimum Height/Drop is 500mm.
Maximum Height/Drop is 3000mm. </t>
        </r>
      </text>
    </comment>
    <comment ref="H20" authorId="0" shapeId="0" xr:uid="{00000000-0006-0000-0700-0000A1000000}">
      <text>
        <r>
          <rPr>
            <sz val="8"/>
            <color indexed="81"/>
            <rFont val="Tahoma"/>
            <family val="2"/>
          </rPr>
          <t xml:space="preserve">
Panel Quantities 
options;
2
3
4
5
6
7
9
Please note; 
Minimum Panel Width is 400mm.
Maximum Panel Width is 1000mm.</t>
        </r>
      </text>
    </comment>
    <comment ref="I20" authorId="0" shapeId="0" xr:uid="{00000000-0006-0000-0700-0000A2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0" authorId="0" shapeId="0" xr:uid="{00000000-0006-0000-0700-0000A3000000}">
      <text>
        <r>
          <rPr>
            <sz val="8"/>
            <color indexed="81"/>
            <rFont val="Tahoma"/>
            <family val="2"/>
          </rPr>
          <t>When selecting a
Corner or Bay 
Window Type, 
the 
CMB Corner WS 
or 
CMB Bay WS 
must be completed.</t>
        </r>
      </text>
    </comment>
    <comment ref="L20" authorId="0" shapeId="0" xr:uid="{00000000-0006-0000-0700-0000A4000000}">
      <text>
        <r>
          <rPr>
            <sz val="8"/>
            <color indexed="81"/>
            <rFont val="Tahoma"/>
            <family val="2"/>
          </rPr>
          <t>ACT 
Actual Measurements
You have made the allowances.
NAM
No Allowances Made 
The factory will make the deductions.</t>
        </r>
      </text>
    </comment>
    <comment ref="N20" authorId="0" shapeId="0" xr:uid="{00000000-0006-0000-0700-0000A5000000}">
      <text>
        <r>
          <rPr>
            <sz val="8"/>
            <color indexed="81"/>
            <rFont val="Tahoma"/>
            <family val="2"/>
          </rPr>
          <t>Track Colour options are;
Clear Anodised
Black
White
White Birch
Please note; 
All Blinds are supplied 
with a Clear Anodised Wand.</t>
        </r>
      </text>
    </comment>
    <comment ref="O20" authorId="0" shapeId="0" xr:uid="{00000000-0006-0000-0700-0000A6000000}">
      <text>
        <r>
          <rPr>
            <sz val="8"/>
            <color indexed="81"/>
            <rFont val="Tahoma"/>
            <family val="2"/>
          </rPr>
          <t xml:space="preserve">
Finish options;
Sewn In Pocket
Bottom Rail</t>
        </r>
      </text>
    </comment>
    <comment ref="P20" authorId="0" shapeId="0" xr:uid="{00000000-0006-0000-0700-0000A7000000}">
      <text>
        <r>
          <rPr>
            <sz val="8"/>
            <color indexed="81"/>
            <rFont val="Tahoma"/>
            <family val="2"/>
          </rPr>
          <t xml:space="preserve">
Bottom Rail Colour options;
Bright Silver
Clear Anodised
Metallic Black
Mocha
White
White Birch</t>
        </r>
      </text>
    </comment>
    <comment ref="Q20" authorId="0" shapeId="0" xr:uid="{00000000-0006-0000-0700-0000A8000000}">
      <text>
        <r>
          <rPr>
            <sz val="8"/>
            <color indexed="81"/>
            <rFont val="Tahoma"/>
            <family val="2"/>
          </rPr>
          <t>When
 Standard or Common 
is selected the 
Pelmet Colour 
must be entered.</t>
        </r>
      </text>
    </comment>
    <comment ref="D21" authorId="0" shapeId="0" xr:uid="{00000000-0006-0000-0700-0000A9000000}">
      <text>
        <r>
          <rPr>
            <sz val="8"/>
            <color indexed="81"/>
            <rFont val="Tahoma"/>
            <family val="2"/>
          </rPr>
          <t>Fabric options are;
Amalfi
Como (Blockout)
Como (Translucent)
Florence
London
Maui
Milan
Pompeii
Rome (Blockout)
Rome (Translucent)
Sunscreen</t>
        </r>
      </text>
    </comment>
    <comment ref="E21" authorId="0" shapeId="0" xr:uid="{00000000-0006-0000-0700-0000AA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1" authorId="0" shapeId="0" xr:uid="{00000000-0006-0000-0700-0000AB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1" authorId="0" shapeId="0" xr:uid="{00000000-0006-0000-0700-0000AC000000}">
      <text>
        <r>
          <rPr>
            <sz val="8"/>
            <color indexed="81"/>
            <rFont val="Tahoma"/>
            <family val="2"/>
          </rPr>
          <t xml:space="preserve">Minimum Height/Drop is 500mm.
Maximum Height/Drop is 3000mm. </t>
        </r>
      </text>
    </comment>
    <comment ref="H21" authorId="0" shapeId="0" xr:uid="{00000000-0006-0000-0700-0000AD000000}">
      <text>
        <r>
          <rPr>
            <sz val="8"/>
            <color indexed="81"/>
            <rFont val="Tahoma"/>
            <family val="2"/>
          </rPr>
          <t xml:space="preserve">
Panel Quantities 
options;
2
3
4
5
6
7
9
Please note; 
Minimum Panel Width is 400mm.
Maximum Panel Width is 1000mm.</t>
        </r>
      </text>
    </comment>
    <comment ref="I21" authorId="0" shapeId="0" xr:uid="{00000000-0006-0000-0700-0000AE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1" authorId="0" shapeId="0" xr:uid="{00000000-0006-0000-0700-0000AF000000}">
      <text>
        <r>
          <rPr>
            <sz val="8"/>
            <color indexed="81"/>
            <rFont val="Tahoma"/>
            <family val="2"/>
          </rPr>
          <t>When selecting a
Corner or Bay 
Window Type, 
the 
CMB Corner WS 
or 
CMB Bay WS 
must be completed.</t>
        </r>
      </text>
    </comment>
    <comment ref="L21" authorId="0" shapeId="0" xr:uid="{00000000-0006-0000-0700-0000B0000000}">
      <text>
        <r>
          <rPr>
            <sz val="8"/>
            <color indexed="81"/>
            <rFont val="Tahoma"/>
            <family val="2"/>
          </rPr>
          <t>ACT 
Actual Measurements
You have made the allowances.
NAM
No Allowances Made 
The factory will make the deductions.</t>
        </r>
      </text>
    </comment>
    <comment ref="N21" authorId="0" shapeId="0" xr:uid="{00000000-0006-0000-0700-0000B1000000}">
      <text>
        <r>
          <rPr>
            <sz val="8"/>
            <color indexed="81"/>
            <rFont val="Tahoma"/>
            <family val="2"/>
          </rPr>
          <t>Track Colour options are;
Clear Anodised
Black
White
White Birch
Please note; 
All Blinds are supplied 
with a Clear Anodised Wand.</t>
        </r>
      </text>
    </comment>
    <comment ref="O21" authorId="0" shapeId="0" xr:uid="{00000000-0006-0000-0700-0000B2000000}">
      <text>
        <r>
          <rPr>
            <sz val="8"/>
            <color indexed="81"/>
            <rFont val="Tahoma"/>
            <family val="2"/>
          </rPr>
          <t xml:space="preserve">
Finish options;
Sewn In Pocket
Bottom Rail</t>
        </r>
      </text>
    </comment>
    <comment ref="P21" authorId="0" shapeId="0" xr:uid="{00000000-0006-0000-0700-0000B3000000}">
      <text>
        <r>
          <rPr>
            <sz val="8"/>
            <color indexed="81"/>
            <rFont val="Tahoma"/>
            <family val="2"/>
          </rPr>
          <t xml:space="preserve">
Bottom Rail Colour options;
Bright Silver
Clear Anodised
Metallic Black
Mocha
White
White Birch</t>
        </r>
      </text>
    </comment>
    <comment ref="Q21" authorId="0" shapeId="0" xr:uid="{00000000-0006-0000-0700-0000B4000000}">
      <text>
        <r>
          <rPr>
            <sz val="8"/>
            <color indexed="81"/>
            <rFont val="Tahoma"/>
            <family val="2"/>
          </rPr>
          <t>When
 Standard or Common 
is selected the 
Pelmet Colour 
must be entered.</t>
        </r>
      </text>
    </comment>
    <comment ref="D22" authorId="0" shapeId="0" xr:uid="{00000000-0006-0000-0700-0000B5000000}">
      <text>
        <r>
          <rPr>
            <sz val="8"/>
            <color indexed="81"/>
            <rFont val="Tahoma"/>
            <family val="2"/>
          </rPr>
          <t>Fabric options are;
Amalfi
Como (Blockout)
Como (Translucent)
Florence
London
Maui
Milan
Pompeii
Rome (Blockout)
Rome (Translucent)
Sunscreen</t>
        </r>
      </text>
    </comment>
    <comment ref="E22" authorId="0" shapeId="0" xr:uid="{00000000-0006-0000-0700-0000B6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2" authorId="0" shapeId="0" xr:uid="{00000000-0006-0000-0700-0000B7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2" authorId="0" shapeId="0" xr:uid="{00000000-0006-0000-0700-0000B8000000}">
      <text>
        <r>
          <rPr>
            <sz val="8"/>
            <color indexed="81"/>
            <rFont val="Tahoma"/>
            <family val="2"/>
          </rPr>
          <t xml:space="preserve">Minimum Height/Drop is 500mm.
Maximum Height/Drop is 3000mm. </t>
        </r>
      </text>
    </comment>
    <comment ref="H22" authorId="0" shapeId="0" xr:uid="{00000000-0006-0000-0700-0000B9000000}">
      <text>
        <r>
          <rPr>
            <sz val="8"/>
            <color indexed="81"/>
            <rFont val="Tahoma"/>
            <family val="2"/>
          </rPr>
          <t xml:space="preserve">
Panel Quantities 
options;
2
3
4
5
6
7
9
Please note; 
Minimum Panel Width is 400mm.
Maximum Panel Width is 1000mm.</t>
        </r>
      </text>
    </comment>
    <comment ref="I22" authorId="0" shapeId="0" xr:uid="{00000000-0006-0000-0700-0000BA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2" authorId="0" shapeId="0" xr:uid="{00000000-0006-0000-0700-0000BB000000}">
      <text>
        <r>
          <rPr>
            <sz val="8"/>
            <color indexed="81"/>
            <rFont val="Tahoma"/>
            <family val="2"/>
          </rPr>
          <t>When selecting a
Corner or Bay 
Window Type, 
the 
CMB Corner WS 
or 
CMB Bay WS 
must be completed.</t>
        </r>
      </text>
    </comment>
    <comment ref="L22" authorId="0" shapeId="0" xr:uid="{00000000-0006-0000-0700-0000BC000000}">
      <text>
        <r>
          <rPr>
            <sz val="8"/>
            <color indexed="81"/>
            <rFont val="Tahoma"/>
            <family val="2"/>
          </rPr>
          <t>ACT 
Actual Measurements
You have made the allowances.
NAM
No Allowances Made 
The factory will make the deductions.</t>
        </r>
      </text>
    </comment>
    <comment ref="N22" authorId="0" shapeId="0" xr:uid="{00000000-0006-0000-0700-0000BD000000}">
      <text>
        <r>
          <rPr>
            <sz val="8"/>
            <color indexed="81"/>
            <rFont val="Tahoma"/>
            <family val="2"/>
          </rPr>
          <t>Track Colour options are;
Clear Anodised
Black
White
White Birch
Please note; 
All Blinds are supplied 
with a Clear Anodised Wand.</t>
        </r>
      </text>
    </comment>
    <comment ref="O22" authorId="0" shapeId="0" xr:uid="{00000000-0006-0000-0700-0000BE000000}">
      <text>
        <r>
          <rPr>
            <sz val="8"/>
            <color indexed="81"/>
            <rFont val="Tahoma"/>
            <family val="2"/>
          </rPr>
          <t xml:space="preserve">
Finish options;
Sewn In Pocket
Bottom Rail</t>
        </r>
      </text>
    </comment>
    <comment ref="P22" authorId="0" shapeId="0" xr:uid="{00000000-0006-0000-0700-0000BF000000}">
      <text>
        <r>
          <rPr>
            <sz val="8"/>
            <color indexed="81"/>
            <rFont val="Tahoma"/>
            <family val="2"/>
          </rPr>
          <t xml:space="preserve">
Bottom Rail Colour options;
Bright Silver
Clear Anodised
Metallic Black
Mocha
White
White Birch</t>
        </r>
      </text>
    </comment>
    <comment ref="Q22" authorId="0" shapeId="0" xr:uid="{00000000-0006-0000-0700-0000C0000000}">
      <text>
        <r>
          <rPr>
            <sz val="8"/>
            <color indexed="81"/>
            <rFont val="Tahoma"/>
            <family val="2"/>
          </rPr>
          <t>When
 Standard or Common 
is selected the 
Pelmet Colour 
must be entered.</t>
        </r>
      </text>
    </comment>
    <comment ref="D23" authorId="0" shapeId="0" xr:uid="{00000000-0006-0000-0700-0000C1000000}">
      <text>
        <r>
          <rPr>
            <sz val="8"/>
            <color indexed="81"/>
            <rFont val="Tahoma"/>
            <family val="2"/>
          </rPr>
          <t>Fabric options are;
Amalfi
Como (Blockout)
Como (Translucent)
Florence
London
Maui
Milan
Pompeii
Rome (Blockout)
Rome (Translucent)
Sunscreen</t>
        </r>
      </text>
    </comment>
    <comment ref="E23" authorId="0" shapeId="0" xr:uid="{00000000-0006-0000-0700-0000C2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3" authorId="0" shapeId="0" xr:uid="{00000000-0006-0000-0700-0000C3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3" authorId="0" shapeId="0" xr:uid="{00000000-0006-0000-0700-0000C4000000}">
      <text>
        <r>
          <rPr>
            <sz val="8"/>
            <color indexed="81"/>
            <rFont val="Tahoma"/>
            <family val="2"/>
          </rPr>
          <t xml:space="preserve">Minimum Height/Drop is 500mm.
Maximum Height/Drop is 3000mm. </t>
        </r>
      </text>
    </comment>
    <comment ref="H23" authorId="0" shapeId="0" xr:uid="{00000000-0006-0000-0700-0000C5000000}">
      <text>
        <r>
          <rPr>
            <sz val="8"/>
            <color indexed="81"/>
            <rFont val="Tahoma"/>
            <family val="2"/>
          </rPr>
          <t xml:space="preserve">
Panel Quantities 
options;
2
3
4
5
6
7
9
Please note; 
Minimum Panel Width is 400mm.
Maximum Panel Width is 1000mm.</t>
        </r>
      </text>
    </comment>
    <comment ref="I23" authorId="0" shapeId="0" xr:uid="{00000000-0006-0000-0700-0000C6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3" authorId="0" shapeId="0" xr:uid="{00000000-0006-0000-0700-0000C7000000}">
      <text>
        <r>
          <rPr>
            <sz val="8"/>
            <color indexed="81"/>
            <rFont val="Tahoma"/>
            <family val="2"/>
          </rPr>
          <t>When selecting a
Corner or Bay 
Window Type, 
the 
CMB Corner WS 
or 
CMB Bay WS 
must be completed.</t>
        </r>
      </text>
    </comment>
    <comment ref="L23" authorId="0" shapeId="0" xr:uid="{00000000-0006-0000-0700-0000C8000000}">
      <text>
        <r>
          <rPr>
            <sz val="8"/>
            <color indexed="81"/>
            <rFont val="Tahoma"/>
            <family val="2"/>
          </rPr>
          <t>ACT 
Actual Measurements
You have made the allowances.
NAM
No Allowances Made 
The factory will make the deductions.</t>
        </r>
      </text>
    </comment>
    <comment ref="N23" authorId="0" shapeId="0" xr:uid="{00000000-0006-0000-0700-0000C9000000}">
      <text>
        <r>
          <rPr>
            <sz val="8"/>
            <color indexed="81"/>
            <rFont val="Tahoma"/>
            <family val="2"/>
          </rPr>
          <t>Track Colour options are;
Clear Anodised
Black
White
White Birch
Please note; 
All Blinds are supplied 
with a Clear Anodised Wand.</t>
        </r>
      </text>
    </comment>
    <comment ref="O23" authorId="0" shapeId="0" xr:uid="{00000000-0006-0000-0700-0000CA000000}">
      <text>
        <r>
          <rPr>
            <sz val="8"/>
            <color indexed="81"/>
            <rFont val="Tahoma"/>
            <family val="2"/>
          </rPr>
          <t xml:space="preserve">
Finish options;
Sewn In Pocket
Bottom Rail</t>
        </r>
      </text>
    </comment>
    <comment ref="P23" authorId="0" shapeId="0" xr:uid="{00000000-0006-0000-0700-0000CB000000}">
      <text>
        <r>
          <rPr>
            <sz val="8"/>
            <color indexed="81"/>
            <rFont val="Tahoma"/>
            <family val="2"/>
          </rPr>
          <t xml:space="preserve">
Bottom Rail Colour options;
Bright Silver
Clear Anodised
Metallic Black
Mocha
White
White Birch</t>
        </r>
      </text>
    </comment>
    <comment ref="Q23" authorId="0" shapeId="0" xr:uid="{00000000-0006-0000-0700-0000CC000000}">
      <text>
        <r>
          <rPr>
            <sz val="8"/>
            <color indexed="81"/>
            <rFont val="Tahoma"/>
            <family val="2"/>
          </rPr>
          <t>When
 Standard or Common 
is selected the 
Pelmet Colour 
must be entered.</t>
        </r>
      </text>
    </comment>
    <comment ref="D24" authorId="0" shapeId="0" xr:uid="{00000000-0006-0000-0700-0000CD000000}">
      <text>
        <r>
          <rPr>
            <sz val="8"/>
            <color indexed="81"/>
            <rFont val="Tahoma"/>
            <family val="2"/>
          </rPr>
          <t>Fabric options are;
Amalfi
Como (Blockout)
Como (Translucent)
Florence
London
Maui
Milan
Pompeii
Rome (Blockout)
Rome (Translucent)
Sunscreen</t>
        </r>
      </text>
    </comment>
    <comment ref="E24" authorId="0" shapeId="0" xr:uid="{00000000-0006-0000-0700-0000CE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4" authorId="0" shapeId="0" xr:uid="{00000000-0006-0000-0700-0000CF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4" authorId="0" shapeId="0" xr:uid="{00000000-0006-0000-0700-0000D0000000}">
      <text>
        <r>
          <rPr>
            <sz val="8"/>
            <color indexed="81"/>
            <rFont val="Tahoma"/>
            <family val="2"/>
          </rPr>
          <t xml:space="preserve">Minimum Height/Drop is 500mm.
Maximum Height/Drop is 3000mm. </t>
        </r>
      </text>
    </comment>
    <comment ref="H24" authorId="0" shapeId="0" xr:uid="{00000000-0006-0000-0700-0000D1000000}">
      <text>
        <r>
          <rPr>
            <sz val="8"/>
            <color indexed="81"/>
            <rFont val="Tahoma"/>
            <family val="2"/>
          </rPr>
          <t xml:space="preserve">
Panel Quantities 
options;
2
3
4
5
6
7
9
Please note; 
Minimum Panel Width is 400mm.
Maximum Panel Width is 1000mm.</t>
        </r>
      </text>
    </comment>
    <comment ref="I24" authorId="0" shapeId="0" xr:uid="{00000000-0006-0000-0700-0000D2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4" authorId="0" shapeId="0" xr:uid="{00000000-0006-0000-0700-0000D3000000}">
      <text>
        <r>
          <rPr>
            <sz val="8"/>
            <color indexed="81"/>
            <rFont val="Tahoma"/>
            <family val="2"/>
          </rPr>
          <t>When selecting a
Corner or Bay 
Window Type, 
the 
CMB Corner WS 
or 
CMB Bay WS 
must be completed.</t>
        </r>
      </text>
    </comment>
    <comment ref="L24" authorId="0" shapeId="0" xr:uid="{00000000-0006-0000-0700-0000D4000000}">
      <text>
        <r>
          <rPr>
            <sz val="8"/>
            <color indexed="81"/>
            <rFont val="Tahoma"/>
            <family val="2"/>
          </rPr>
          <t>ACT 
Actual Measurements
You have made the allowances.
NAM
No Allowances Made 
The factory will make the deductions.</t>
        </r>
      </text>
    </comment>
    <comment ref="N24" authorId="0" shapeId="0" xr:uid="{00000000-0006-0000-0700-0000D5000000}">
      <text>
        <r>
          <rPr>
            <sz val="8"/>
            <color indexed="81"/>
            <rFont val="Tahoma"/>
            <family val="2"/>
          </rPr>
          <t>Track Colour options are;
Clear Anodised
Black
White
White Birch
Please note; 
All Blinds are supplied 
with a Clear Anodised Wand.</t>
        </r>
      </text>
    </comment>
    <comment ref="O24" authorId="0" shapeId="0" xr:uid="{00000000-0006-0000-0700-0000D6000000}">
      <text>
        <r>
          <rPr>
            <sz val="8"/>
            <color indexed="81"/>
            <rFont val="Tahoma"/>
            <family val="2"/>
          </rPr>
          <t xml:space="preserve">
Finish options;
Sewn In Pocket
Bottom Rail</t>
        </r>
      </text>
    </comment>
    <comment ref="P24" authorId="0" shapeId="0" xr:uid="{00000000-0006-0000-0700-0000D7000000}">
      <text>
        <r>
          <rPr>
            <sz val="8"/>
            <color indexed="81"/>
            <rFont val="Tahoma"/>
            <family val="2"/>
          </rPr>
          <t xml:space="preserve">
Bottom Rail Colour options;
Bright Silver
Clear Anodised
Metallic Black
Mocha
White
White Birch</t>
        </r>
      </text>
    </comment>
    <comment ref="Q24" authorId="0" shapeId="0" xr:uid="{00000000-0006-0000-0700-0000D8000000}">
      <text>
        <r>
          <rPr>
            <sz val="8"/>
            <color indexed="81"/>
            <rFont val="Tahoma"/>
            <family val="2"/>
          </rPr>
          <t>When
 Standard or Common 
is selected the 
Pelmet Colour 
must be entered.</t>
        </r>
      </text>
    </comment>
    <comment ref="D25" authorId="0" shapeId="0" xr:uid="{00000000-0006-0000-0700-0000D9000000}">
      <text>
        <r>
          <rPr>
            <sz val="8"/>
            <color indexed="81"/>
            <rFont val="Tahoma"/>
            <family val="2"/>
          </rPr>
          <t>Fabric options are;
Amalfi
Como (Blockout)
Como (Translucent)
Florence
London
Maui
Milan
Pompeii
Rome (Blockout)
Rome (Translucent)
Sunscreen</t>
        </r>
      </text>
    </comment>
    <comment ref="E25" authorId="0" shapeId="0" xr:uid="{00000000-0006-0000-0700-0000DA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5" authorId="0" shapeId="0" xr:uid="{00000000-0006-0000-0700-0000DB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5" authorId="0" shapeId="0" xr:uid="{00000000-0006-0000-0700-0000DC000000}">
      <text>
        <r>
          <rPr>
            <sz val="8"/>
            <color indexed="81"/>
            <rFont val="Tahoma"/>
            <family val="2"/>
          </rPr>
          <t xml:space="preserve">Minimum Height/Drop is 500mm.
Maximum Height/Drop is 3000mm. </t>
        </r>
      </text>
    </comment>
    <comment ref="H25" authorId="0" shapeId="0" xr:uid="{00000000-0006-0000-0700-0000DD000000}">
      <text>
        <r>
          <rPr>
            <sz val="8"/>
            <color indexed="81"/>
            <rFont val="Tahoma"/>
            <family val="2"/>
          </rPr>
          <t xml:space="preserve">
Panel Quantities 
options;
2
3
4
5
6
7
9
Please note; 
Minimum Panel Width is 400mm.
Maximum Panel Width is 1000mm.</t>
        </r>
      </text>
    </comment>
    <comment ref="I25" authorId="0" shapeId="0" xr:uid="{00000000-0006-0000-0700-0000DE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5" authorId="0" shapeId="0" xr:uid="{00000000-0006-0000-0700-0000DF000000}">
      <text>
        <r>
          <rPr>
            <sz val="8"/>
            <color indexed="81"/>
            <rFont val="Tahoma"/>
            <family val="2"/>
          </rPr>
          <t>When selecting a
Corner or Bay 
Window Type, 
the 
CMB Corner WS 
or 
CMB Bay WS 
must be completed.</t>
        </r>
      </text>
    </comment>
    <comment ref="L25" authorId="0" shapeId="0" xr:uid="{00000000-0006-0000-0700-0000E0000000}">
      <text>
        <r>
          <rPr>
            <sz val="8"/>
            <color indexed="81"/>
            <rFont val="Tahoma"/>
            <family val="2"/>
          </rPr>
          <t>ACT 
Actual Measurements
You have made the allowances.
NAM
No Allowances Made 
The factory will make the deductions.</t>
        </r>
      </text>
    </comment>
    <comment ref="N25" authorId="0" shapeId="0" xr:uid="{00000000-0006-0000-0700-0000E1000000}">
      <text>
        <r>
          <rPr>
            <sz val="8"/>
            <color indexed="81"/>
            <rFont val="Tahoma"/>
            <family val="2"/>
          </rPr>
          <t>Track Colour options are;
Clear Anodised
Black
White
White Birch
Please note; 
All Blinds are supplied 
with a Clear Anodised Wand.</t>
        </r>
      </text>
    </comment>
    <comment ref="O25" authorId="0" shapeId="0" xr:uid="{00000000-0006-0000-0700-0000E2000000}">
      <text>
        <r>
          <rPr>
            <sz val="8"/>
            <color indexed="81"/>
            <rFont val="Tahoma"/>
            <family val="2"/>
          </rPr>
          <t xml:space="preserve">
Finish options;
Sewn In Pocket
Bottom Rail</t>
        </r>
      </text>
    </comment>
    <comment ref="P25" authorId="0" shapeId="0" xr:uid="{00000000-0006-0000-0700-0000E3000000}">
      <text>
        <r>
          <rPr>
            <sz val="8"/>
            <color indexed="81"/>
            <rFont val="Tahoma"/>
            <family val="2"/>
          </rPr>
          <t xml:space="preserve">
Bottom Rail Colour options;
Bright Silver
Clear Anodised
Metallic Black
Mocha
White
White Birch</t>
        </r>
      </text>
    </comment>
    <comment ref="Q25" authorId="0" shapeId="0" xr:uid="{00000000-0006-0000-0700-0000E4000000}">
      <text>
        <r>
          <rPr>
            <sz val="8"/>
            <color indexed="81"/>
            <rFont val="Tahoma"/>
            <family val="2"/>
          </rPr>
          <t>When
 Standard or Common 
is selected the 
Pelmet Colour 
must be entered.</t>
        </r>
      </text>
    </comment>
    <comment ref="D26" authorId="0" shapeId="0" xr:uid="{00000000-0006-0000-0700-0000E5000000}">
      <text>
        <r>
          <rPr>
            <sz val="8"/>
            <color indexed="81"/>
            <rFont val="Tahoma"/>
            <family val="2"/>
          </rPr>
          <t>Fabric options are;
Amalfi
Como (Blockout)
Como (Translucent)
Florence
London
Maui
Milan
Pompeii
Rome (Blockout)
Rome (Translucent)
Sunscreen</t>
        </r>
      </text>
    </comment>
    <comment ref="E26" authorId="0" shapeId="0" xr:uid="{00000000-0006-0000-0700-0000E6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6" authorId="0" shapeId="0" xr:uid="{00000000-0006-0000-0700-0000E7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6" authorId="0" shapeId="0" xr:uid="{00000000-0006-0000-0700-0000E8000000}">
      <text>
        <r>
          <rPr>
            <sz val="8"/>
            <color indexed="81"/>
            <rFont val="Tahoma"/>
            <family val="2"/>
          </rPr>
          <t xml:space="preserve">Minimum Height/Drop is 500mm.
Maximum Height/Drop is 3000mm. </t>
        </r>
      </text>
    </comment>
    <comment ref="H26" authorId="0" shapeId="0" xr:uid="{00000000-0006-0000-0700-0000E9000000}">
      <text>
        <r>
          <rPr>
            <sz val="8"/>
            <color indexed="81"/>
            <rFont val="Tahoma"/>
            <family val="2"/>
          </rPr>
          <t xml:space="preserve">
Panel Quantities 
options;
2
3
4
5
6
7
9
Please note; 
Minimum Panel Width is 400mm.
Maximum Panel Width is 1000mm.</t>
        </r>
      </text>
    </comment>
    <comment ref="I26" authorId="0" shapeId="0" xr:uid="{00000000-0006-0000-0700-0000EA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6" authorId="0" shapeId="0" xr:uid="{00000000-0006-0000-0700-0000EB000000}">
      <text>
        <r>
          <rPr>
            <sz val="8"/>
            <color indexed="81"/>
            <rFont val="Tahoma"/>
            <family val="2"/>
          </rPr>
          <t>When selecting a
Corner or Bay 
Window Type, 
the 
CMB Corner WS 
or 
CMB Bay WS 
must be completed.</t>
        </r>
      </text>
    </comment>
    <comment ref="L26" authorId="0" shapeId="0" xr:uid="{00000000-0006-0000-0700-0000EC000000}">
      <text>
        <r>
          <rPr>
            <sz val="8"/>
            <color indexed="81"/>
            <rFont val="Tahoma"/>
            <family val="2"/>
          </rPr>
          <t>ACT 
Actual Measurements
You have made the allowances.
NAM
No Allowances Made 
The factory will make the deductions.</t>
        </r>
      </text>
    </comment>
    <comment ref="N26" authorId="0" shapeId="0" xr:uid="{00000000-0006-0000-0700-0000ED000000}">
      <text>
        <r>
          <rPr>
            <sz val="8"/>
            <color indexed="81"/>
            <rFont val="Tahoma"/>
            <family val="2"/>
          </rPr>
          <t>Track Colour options are;
Clear Anodised
Black
White
White Birch
Please note; 
All Blinds are supplied 
with a Clear Anodised Wand.</t>
        </r>
      </text>
    </comment>
    <comment ref="O26" authorId="0" shapeId="0" xr:uid="{00000000-0006-0000-0700-0000EE000000}">
      <text>
        <r>
          <rPr>
            <sz val="8"/>
            <color indexed="81"/>
            <rFont val="Tahoma"/>
            <family val="2"/>
          </rPr>
          <t xml:space="preserve">
Finish options;
Sewn In Pocket
Bottom Rail</t>
        </r>
      </text>
    </comment>
    <comment ref="P26" authorId="0" shapeId="0" xr:uid="{00000000-0006-0000-0700-0000EF000000}">
      <text>
        <r>
          <rPr>
            <sz val="8"/>
            <color indexed="81"/>
            <rFont val="Tahoma"/>
            <family val="2"/>
          </rPr>
          <t xml:space="preserve">
Bottom Rail Colour options;
Bright Silver
Clear Anodised
Metallic Black
Mocha
White
White Birch</t>
        </r>
      </text>
    </comment>
    <comment ref="Q26" authorId="0" shapeId="0" xr:uid="{00000000-0006-0000-0700-0000F0000000}">
      <text>
        <r>
          <rPr>
            <sz val="8"/>
            <color indexed="81"/>
            <rFont val="Tahoma"/>
            <family val="2"/>
          </rPr>
          <t>When
 Standard or Common 
is selected the 
Pelmet Colour 
must be entered.</t>
        </r>
      </text>
    </comment>
    <comment ref="D27" authorId="0" shapeId="0" xr:uid="{00000000-0006-0000-0700-0000F1000000}">
      <text>
        <r>
          <rPr>
            <sz val="8"/>
            <color indexed="81"/>
            <rFont val="Tahoma"/>
            <family val="2"/>
          </rPr>
          <t>Fabric options are;
Amalfi
Como (Blockout)
Como (Translucent)
Florence
London
Maui
Milan
Pompeii
Rome (Blockout)
Rome (Translucent)
Sunscreen</t>
        </r>
      </text>
    </comment>
    <comment ref="E27" authorId="0" shapeId="0" xr:uid="{00000000-0006-0000-0700-0000F2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7" authorId="0" shapeId="0" xr:uid="{00000000-0006-0000-0700-0000F3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7" authorId="0" shapeId="0" xr:uid="{00000000-0006-0000-0700-0000F4000000}">
      <text>
        <r>
          <rPr>
            <sz val="8"/>
            <color indexed="81"/>
            <rFont val="Tahoma"/>
            <family val="2"/>
          </rPr>
          <t xml:space="preserve">Minimum Height/Drop is 500mm.
Maximum Height/Drop is 3000mm. </t>
        </r>
      </text>
    </comment>
    <comment ref="H27" authorId="0" shapeId="0" xr:uid="{00000000-0006-0000-0700-0000F5000000}">
      <text>
        <r>
          <rPr>
            <sz val="8"/>
            <color indexed="81"/>
            <rFont val="Tahoma"/>
            <family val="2"/>
          </rPr>
          <t xml:space="preserve">
Panel Quantities 
options;
2
3
4
5
6
7
9
Please note; 
Minimum Panel Width is 400mm.
Maximum Panel Width is 1000mm.</t>
        </r>
      </text>
    </comment>
    <comment ref="I27" authorId="0" shapeId="0" xr:uid="{00000000-0006-0000-0700-0000F6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7" authorId="0" shapeId="0" xr:uid="{00000000-0006-0000-0700-0000F7000000}">
      <text>
        <r>
          <rPr>
            <sz val="8"/>
            <color indexed="81"/>
            <rFont val="Tahoma"/>
            <family val="2"/>
          </rPr>
          <t>When selecting a
Corner or Bay 
Window Type, 
the 
CMB Corner WS 
or 
CMB Bay WS 
must be completed.</t>
        </r>
      </text>
    </comment>
    <comment ref="L27" authorId="0" shapeId="0" xr:uid="{00000000-0006-0000-0700-0000F8000000}">
      <text>
        <r>
          <rPr>
            <sz val="8"/>
            <color indexed="81"/>
            <rFont val="Tahoma"/>
            <family val="2"/>
          </rPr>
          <t>ACT 
Actual Measurements
You have made the allowances.
NAM
No Allowances Made 
The factory will make the deductions.</t>
        </r>
      </text>
    </comment>
    <comment ref="N27" authorId="0" shapeId="0" xr:uid="{00000000-0006-0000-0700-0000F9000000}">
      <text>
        <r>
          <rPr>
            <sz val="8"/>
            <color indexed="81"/>
            <rFont val="Tahoma"/>
            <family val="2"/>
          </rPr>
          <t>Track Colour options are;
Clear Anodised
Black
White
White Birch
Please note; 
All Blinds are supplied 
with a Clear Anodised Wand.</t>
        </r>
      </text>
    </comment>
    <comment ref="O27" authorId="0" shapeId="0" xr:uid="{00000000-0006-0000-0700-0000FA000000}">
      <text>
        <r>
          <rPr>
            <sz val="8"/>
            <color indexed="81"/>
            <rFont val="Tahoma"/>
            <family val="2"/>
          </rPr>
          <t xml:space="preserve">
Finish options;
Sewn In Pocket
Bottom Rail</t>
        </r>
      </text>
    </comment>
    <comment ref="P27" authorId="0" shapeId="0" xr:uid="{00000000-0006-0000-0700-0000FB000000}">
      <text>
        <r>
          <rPr>
            <sz val="8"/>
            <color indexed="81"/>
            <rFont val="Tahoma"/>
            <family val="2"/>
          </rPr>
          <t xml:space="preserve">
Bottom Rail Colour options;
Bright Silver
Clear Anodised
Metallic Black
Mocha
White
White Birch</t>
        </r>
      </text>
    </comment>
    <comment ref="Q27" authorId="0" shapeId="0" xr:uid="{00000000-0006-0000-0700-0000FC000000}">
      <text>
        <r>
          <rPr>
            <sz val="8"/>
            <color indexed="81"/>
            <rFont val="Tahoma"/>
            <family val="2"/>
          </rPr>
          <t>When
 Standard or Common 
is selected the 
Pelmet Colour 
must be entered.</t>
        </r>
      </text>
    </comment>
    <comment ref="D28" authorId="0" shapeId="0" xr:uid="{00000000-0006-0000-0700-0000FD000000}">
      <text>
        <r>
          <rPr>
            <sz val="8"/>
            <color indexed="81"/>
            <rFont val="Tahoma"/>
            <family val="2"/>
          </rPr>
          <t>Fabric options are;
Amalfi
Como (Blockout)
Como (Translucent)
Florence
London
Maui
Milan
Pompeii
Rome (Blockout)
Rome (Translucent)
Sunscreen</t>
        </r>
      </text>
    </comment>
    <comment ref="E28" authorId="0" shapeId="0" xr:uid="{00000000-0006-0000-0700-0000FE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8" authorId="0" shapeId="0" xr:uid="{00000000-0006-0000-0700-0000FF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8" authorId="0" shapeId="0" xr:uid="{00000000-0006-0000-0700-000000010000}">
      <text>
        <r>
          <rPr>
            <sz val="8"/>
            <color indexed="81"/>
            <rFont val="Tahoma"/>
            <family val="2"/>
          </rPr>
          <t xml:space="preserve">Minimum Height/Drop is 500mm.
Maximum Height/Drop is 3000mm. </t>
        </r>
      </text>
    </comment>
    <comment ref="H28" authorId="0" shapeId="0" xr:uid="{00000000-0006-0000-0700-000001010000}">
      <text>
        <r>
          <rPr>
            <sz val="8"/>
            <color indexed="81"/>
            <rFont val="Tahoma"/>
            <family val="2"/>
          </rPr>
          <t xml:space="preserve">
Panel Quantities 
options;
2
3
4
5
6
7
9
Please note; 
Minimum Panel Width is 400mm.
Maximum Panel Width is 1000mm.</t>
        </r>
      </text>
    </comment>
    <comment ref="I28" authorId="0" shapeId="0" xr:uid="{00000000-0006-0000-0700-000002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8" authorId="0" shapeId="0" xr:uid="{00000000-0006-0000-0700-000003010000}">
      <text>
        <r>
          <rPr>
            <sz val="8"/>
            <color indexed="81"/>
            <rFont val="Tahoma"/>
            <family val="2"/>
          </rPr>
          <t>When selecting a
Corner or Bay 
Window Type, 
the 
CMB Corner WS 
or 
CMB Bay WS 
must be completed.</t>
        </r>
      </text>
    </comment>
    <comment ref="L28" authorId="0" shapeId="0" xr:uid="{00000000-0006-0000-0700-000004010000}">
      <text>
        <r>
          <rPr>
            <sz val="8"/>
            <color indexed="81"/>
            <rFont val="Tahoma"/>
            <family val="2"/>
          </rPr>
          <t>ACT 
Actual Measurements
You have made the allowances.
NAM
No Allowances Made 
The factory will make the deductions.</t>
        </r>
      </text>
    </comment>
    <comment ref="N28" authorId="0" shapeId="0" xr:uid="{00000000-0006-0000-0700-000005010000}">
      <text>
        <r>
          <rPr>
            <sz val="8"/>
            <color indexed="81"/>
            <rFont val="Tahoma"/>
            <family val="2"/>
          </rPr>
          <t>Track Colour options are;
Clear Anodised
Black
White
White Birch
Please note; 
All Blinds are supplied 
with a Clear Anodised Wand.</t>
        </r>
      </text>
    </comment>
    <comment ref="O28" authorId="0" shapeId="0" xr:uid="{00000000-0006-0000-0700-000006010000}">
      <text>
        <r>
          <rPr>
            <sz val="8"/>
            <color indexed="81"/>
            <rFont val="Tahoma"/>
            <family val="2"/>
          </rPr>
          <t xml:space="preserve">
Finish options;
Sewn In Pocket
Bottom Rail</t>
        </r>
      </text>
    </comment>
    <comment ref="P28" authorId="0" shapeId="0" xr:uid="{00000000-0006-0000-0700-000007010000}">
      <text>
        <r>
          <rPr>
            <sz val="8"/>
            <color indexed="81"/>
            <rFont val="Tahoma"/>
            <family val="2"/>
          </rPr>
          <t xml:space="preserve">
Bottom Rail Colour options;
Bright Silver
Clear Anodised
Metallic Black
Mocha
White
White Birch</t>
        </r>
      </text>
    </comment>
    <comment ref="Q28" authorId="0" shapeId="0" xr:uid="{00000000-0006-0000-0700-000008010000}">
      <text>
        <r>
          <rPr>
            <sz val="8"/>
            <color indexed="81"/>
            <rFont val="Tahoma"/>
            <family val="2"/>
          </rPr>
          <t>When
 Standard or Common 
is selected the 
Pelmet Colour 
must be entered.</t>
        </r>
      </text>
    </comment>
    <comment ref="D29" authorId="0" shapeId="0" xr:uid="{00000000-0006-0000-0700-000009010000}">
      <text>
        <r>
          <rPr>
            <sz val="8"/>
            <color indexed="81"/>
            <rFont val="Tahoma"/>
            <family val="2"/>
          </rPr>
          <t>Fabric options are;
Amalfi
Como (Blockout)
Como (Translucent)
Florence
London
Maui
Milan
Pompeii
Rome (Blockout)
Rome (Translucent)
Sunscreen</t>
        </r>
      </text>
    </comment>
    <comment ref="E29" authorId="0" shapeId="0" xr:uid="{00000000-0006-0000-0700-00000A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9" authorId="0" shapeId="0" xr:uid="{00000000-0006-0000-0700-00000B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9" authorId="0" shapeId="0" xr:uid="{00000000-0006-0000-0700-00000C010000}">
      <text>
        <r>
          <rPr>
            <sz val="8"/>
            <color indexed="81"/>
            <rFont val="Tahoma"/>
            <family val="2"/>
          </rPr>
          <t xml:space="preserve">Minimum Height/Drop is 500mm.
Maximum Height/Drop is 3000mm. </t>
        </r>
      </text>
    </comment>
    <comment ref="H29" authorId="0" shapeId="0" xr:uid="{00000000-0006-0000-0700-00000D010000}">
      <text>
        <r>
          <rPr>
            <sz val="8"/>
            <color indexed="81"/>
            <rFont val="Tahoma"/>
            <family val="2"/>
          </rPr>
          <t xml:space="preserve">
Panel Quantities 
options;
2
3
4
5
6
7
9
Please note; 
Minimum Panel Width is 400mm.
Maximum Panel Width is 1000mm.</t>
        </r>
      </text>
    </comment>
    <comment ref="I29" authorId="0" shapeId="0" xr:uid="{00000000-0006-0000-0700-00000E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9" authorId="0" shapeId="0" xr:uid="{00000000-0006-0000-0700-00000F010000}">
      <text>
        <r>
          <rPr>
            <sz val="8"/>
            <color indexed="81"/>
            <rFont val="Tahoma"/>
            <family val="2"/>
          </rPr>
          <t>When selecting a
Corner or Bay 
Window Type, 
the 
CMB Corner WS 
or 
CMB Bay WS 
must be completed.</t>
        </r>
      </text>
    </comment>
    <comment ref="L29" authorId="0" shapeId="0" xr:uid="{00000000-0006-0000-0700-000010010000}">
      <text>
        <r>
          <rPr>
            <sz val="8"/>
            <color indexed="81"/>
            <rFont val="Tahoma"/>
            <family val="2"/>
          </rPr>
          <t>ACT 
Actual Measurements
You have made the allowances.
NAM
No Allowances Made 
The factory will make the deductions.</t>
        </r>
      </text>
    </comment>
    <comment ref="N29" authorId="0" shapeId="0" xr:uid="{00000000-0006-0000-0700-000011010000}">
      <text>
        <r>
          <rPr>
            <sz val="8"/>
            <color indexed="81"/>
            <rFont val="Tahoma"/>
            <family val="2"/>
          </rPr>
          <t>Track Colour options are;
Clear Anodised
Black
White
White Birch
Please note; 
All Blinds are supplied 
with a Clear Anodised Wand.</t>
        </r>
      </text>
    </comment>
    <comment ref="O29" authorId="0" shapeId="0" xr:uid="{00000000-0006-0000-0700-000012010000}">
      <text>
        <r>
          <rPr>
            <sz val="8"/>
            <color indexed="81"/>
            <rFont val="Tahoma"/>
            <family val="2"/>
          </rPr>
          <t xml:space="preserve">
Finish options;
Sewn In Pocket
Bottom Rail</t>
        </r>
      </text>
    </comment>
    <comment ref="P29" authorId="0" shapeId="0" xr:uid="{00000000-0006-0000-0700-000013010000}">
      <text>
        <r>
          <rPr>
            <sz val="8"/>
            <color indexed="81"/>
            <rFont val="Tahoma"/>
            <family val="2"/>
          </rPr>
          <t xml:space="preserve">
Bottom Rail Colour options;
Bright Silver
Clear Anodised
Metallic Black
Mocha
White
White Birch</t>
        </r>
      </text>
    </comment>
    <comment ref="Q29" authorId="0" shapeId="0" xr:uid="{00000000-0006-0000-0700-000014010000}">
      <text>
        <r>
          <rPr>
            <sz val="8"/>
            <color indexed="81"/>
            <rFont val="Tahoma"/>
            <family val="2"/>
          </rPr>
          <t>When
 Standard or Common 
is selected the 
Pelmet Colour 
must be entered.</t>
        </r>
      </text>
    </comment>
    <comment ref="D30" authorId="0" shapeId="0" xr:uid="{00000000-0006-0000-0700-000015010000}">
      <text>
        <r>
          <rPr>
            <sz val="8"/>
            <color indexed="81"/>
            <rFont val="Tahoma"/>
            <family val="2"/>
          </rPr>
          <t>Fabric options are;
Amalfi
Como (Blockout)
Como (Translucent)
Florence
London
Maui
Milan
Pompeii
Rome (Blockout)
Rome (Translucent)
Sunscreen</t>
        </r>
      </text>
    </comment>
    <comment ref="E30" authorId="0" shapeId="0" xr:uid="{00000000-0006-0000-0700-000016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0" authorId="0" shapeId="0" xr:uid="{00000000-0006-0000-0700-000017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0" authorId="0" shapeId="0" xr:uid="{00000000-0006-0000-0700-000018010000}">
      <text>
        <r>
          <rPr>
            <sz val="8"/>
            <color indexed="81"/>
            <rFont val="Tahoma"/>
            <family val="2"/>
          </rPr>
          <t xml:space="preserve">Minimum Height/Drop is 500mm.
Maximum Height/Drop is 3000mm. </t>
        </r>
      </text>
    </comment>
    <comment ref="H30" authorId="0" shapeId="0" xr:uid="{00000000-0006-0000-0700-000019010000}">
      <text>
        <r>
          <rPr>
            <sz val="8"/>
            <color indexed="81"/>
            <rFont val="Tahoma"/>
            <family val="2"/>
          </rPr>
          <t xml:space="preserve">
Panel Quantities 
options;
2
3
4
5
6
7
9
Please note; 
Minimum Panel Width is 400mm.
Maximum Panel Width is 1000mm.</t>
        </r>
      </text>
    </comment>
    <comment ref="I30" authorId="0" shapeId="0" xr:uid="{00000000-0006-0000-0700-00001A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0" authorId="0" shapeId="0" xr:uid="{00000000-0006-0000-0700-00001B010000}">
      <text>
        <r>
          <rPr>
            <sz val="8"/>
            <color indexed="81"/>
            <rFont val="Tahoma"/>
            <family val="2"/>
          </rPr>
          <t>When selecting a
Corner or Bay 
Window Type, 
the 
CMB Corner WS 
or 
CMB Bay WS 
must be completed.</t>
        </r>
      </text>
    </comment>
    <comment ref="L30" authorId="0" shapeId="0" xr:uid="{00000000-0006-0000-0700-00001C010000}">
      <text>
        <r>
          <rPr>
            <sz val="8"/>
            <color indexed="81"/>
            <rFont val="Tahoma"/>
            <family val="2"/>
          </rPr>
          <t>ACT 
Actual Measurements
You have made the allowances.
NAM
No Allowances Made 
The factory will make the deductions.</t>
        </r>
      </text>
    </comment>
    <comment ref="N30" authorId="0" shapeId="0" xr:uid="{00000000-0006-0000-0700-00001D010000}">
      <text>
        <r>
          <rPr>
            <sz val="8"/>
            <color indexed="81"/>
            <rFont val="Tahoma"/>
            <family val="2"/>
          </rPr>
          <t>Track Colour options are;
Clear Anodised
Black
White
White Birch
Please note; 
All Blinds are supplied 
with a Clear Anodised Wand.</t>
        </r>
      </text>
    </comment>
    <comment ref="O30" authorId="0" shapeId="0" xr:uid="{00000000-0006-0000-0700-00001E010000}">
      <text>
        <r>
          <rPr>
            <sz val="8"/>
            <color indexed="81"/>
            <rFont val="Tahoma"/>
            <family val="2"/>
          </rPr>
          <t xml:space="preserve">
Finish options;
Sewn In Pocket
Bottom Rail</t>
        </r>
      </text>
    </comment>
    <comment ref="P30" authorId="0" shapeId="0" xr:uid="{00000000-0006-0000-0700-00001F010000}">
      <text>
        <r>
          <rPr>
            <sz val="8"/>
            <color indexed="81"/>
            <rFont val="Tahoma"/>
            <family val="2"/>
          </rPr>
          <t xml:space="preserve">
Bottom Rail Colour options;
Bright Silver
Clear Anodised
Metallic Black
Mocha
White
White Birch</t>
        </r>
      </text>
    </comment>
    <comment ref="Q30" authorId="0" shapeId="0" xr:uid="{00000000-0006-0000-0700-000020010000}">
      <text>
        <r>
          <rPr>
            <sz val="8"/>
            <color indexed="81"/>
            <rFont val="Tahoma"/>
            <family val="2"/>
          </rPr>
          <t>When
 Standard or Common 
is selected the 
Pelmet Colour 
must be entered.</t>
        </r>
      </text>
    </comment>
    <comment ref="D31" authorId="0" shapeId="0" xr:uid="{00000000-0006-0000-0700-000021010000}">
      <text>
        <r>
          <rPr>
            <sz val="8"/>
            <color indexed="81"/>
            <rFont val="Tahoma"/>
            <family val="2"/>
          </rPr>
          <t>Fabric options are;
Amalfi
Como (Blockout)
Como (Translucent)
Florence
London
Maui
Milan
Pompeii
Rome (Blockout)
Rome (Translucent)
Sunscreen</t>
        </r>
      </text>
    </comment>
    <comment ref="E31" authorId="0" shapeId="0" xr:uid="{00000000-0006-0000-0700-000022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1" authorId="0" shapeId="0" xr:uid="{00000000-0006-0000-0700-000023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1" authorId="0" shapeId="0" xr:uid="{00000000-0006-0000-0700-000024010000}">
      <text>
        <r>
          <rPr>
            <sz val="8"/>
            <color indexed="81"/>
            <rFont val="Tahoma"/>
            <family val="2"/>
          </rPr>
          <t xml:space="preserve">Minimum Height/Drop is 500mm.
Maximum Height/Drop is 3000mm. </t>
        </r>
      </text>
    </comment>
    <comment ref="H31" authorId="0" shapeId="0" xr:uid="{00000000-0006-0000-0700-000025010000}">
      <text>
        <r>
          <rPr>
            <sz val="8"/>
            <color indexed="81"/>
            <rFont val="Tahoma"/>
            <family val="2"/>
          </rPr>
          <t xml:space="preserve">
Panel Quantities 
options;
2
3
4
5
6
7
9
Please note; 
Minimum Panel Width is 400mm.
Maximum Panel Width is 1000mm.</t>
        </r>
      </text>
    </comment>
    <comment ref="I31" authorId="0" shapeId="0" xr:uid="{00000000-0006-0000-0700-000026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1" authorId="0" shapeId="0" xr:uid="{00000000-0006-0000-0700-000027010000}">
      <text>
        <r>
          <rPr>
            <sz val="8"/>
            <color indexed="81"/>
            <rFont val="Tahoma"/>
            <family val="2"/>
          </rPr>
          <t>When selecting a
Corner or Bay 
Window Type, 
the 
CMB Corner WS 
or 
CMB Bay WS 
must be completed.</t>
        </r>
      </text>
    </comment>
    <comment ref="L31" authorId="0" shapeId="0" xr:uid="{00000000-0006-0000-0700-000028010000}">
      <text>
        <r>
          <rPr>
            <sz val="8"/>
            <color indexed="81"/>
            <rFont val="Tahoma"/>
            <family val="2"/>
          </rPr>
          <t>ACT 
Actual Measurements
You have made the allowances.
NAM
No Allowances Made 
The factory will make the deductions.</t>
        </r>
      </text>
    </comment>
    <comment ref="N31" authorId="0" shapeId="0" xr:uid="{00000000-0006-0000-0700-000029010000}">
      <text>
        <r>
          <rPr>
            <sz val="8"/>
            <color indexed="81"/>
            <rFont val="Tahoma"/>
            <family val="2"/>
          </rPr>
          <t>Track Colour options are;
Clear Anodised
Black
White
White Birch
Please note; 
All Blinds are supplied 
with a Clear Anodised Wand.</t>
        </r>
      </text>
    </comment>
    <comment ref="O31" authorId="0" shapeId="0" xr:uid="{00000000-0006-0000-0700-00002A010000}">
      <text>
        <r>
          <rPr>
            <sz val="8"/>
            <color indexed="81"/>
            <rFont val="Tahoma"/>
            <family val="2"/>
          </rPr>
          <t xml:space="preserve">
Finish options;
Sewn In Pocket
Bottom Rail</t>
        </r>
      </text>
    </comment>
    <comment ref="P31" authorId="0" shapeId="0" xr:uid="{00000000-0006-0000-0700-00002B010000}">
      <text>
        <r>
          <rPr>
            <sz val="8"/>
            <color indexed="81"/>
            <rFont val="Tahoma"/>
            <family val="2"/>
          </rPr>
          <t xml:space="preserve">
Bottom Rail Colour options;
Bright Silver
Clear Anodised
Metallic Black
Mocha
White
White Birch</t>
        </r>
      </text>
    </comment>
    <comment ref="Q31" authorId="0" shapeId="0" xr:uid="{00000000-0006-0000-0700-00002C010000}">
      <text>
        <r>
          <rPr>
            <sz val="8"/>
            <color indexed="81"/>
            <rFont val="Tahoma"/>
            <family val="2"/>
          </rPr>
          <t>When
 Standard or Common 
is selected the 
Pelmet Colour 
must be entered.</t>
        </r>
      </text>
    </comment>
    <comment ref="D32" authorId="0" shapeId="0" xr:uid="{00000000-0006-0000-0700-00002D010000}">
      <text>
        <r>
          <rPr>
            <sz val="8"/>
            <color indexed="81"/>
            <rFont val="Tahoma"/>
            <family val="2"/>
          </rPr>
          <t>Fabric options are;
Amalfi
Como (Blockout)
Como (Translucent)
Florence
London
Maui
Milan
Pompeii
Rome (Blockout)
Rome (Translucent)
Sunscreen</t>
        </r>
      </text>
    </comment>
    <comment ref="E32" authorId="0" shapeId="0" xr:uid="{00000000-0006-0000-0700-00002E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2" authorId="0" shapeId="0" xr:uid="{00000000-0006-0000-0700-00002F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2" authorId="0" shapeId="0" xr:uid="{00000000-0006-0000-0700-000030010000}">
      <text>
        <r>
          <rPr>
            <sz val="8"/>
            <color indexed="81"/>
            <rFont val="Tahoma"/>
            <family val="2"/>
          </rPr>
          <t xml:space="preserve">Minimum Height/Drop is 500mm.
Maximum Height/Drop is 3000mm. </t>
        </r>
      </text>
    </comment>
    <comment ref="H32" authorId="0" shapeId="0" xr:uid="{00000000-0006-0000-0700-000031010000}">
      <text>
        <r>
          <rPr>
            <sz val="8"/>
            <color indexed="81"/>
            <rFont val="Tahoma"/>
            <family val="2"/>
          </rPr>
          <t xml:space="preserve">
Panel Quantities 
options;
2
3
4
5
6
7
9
Please note; 
Minimum Panel Width is 400mm.
Maximum Panel Width is 1000mm.</t>
        </r>
      </text>
    </comment>
    <comment ref="I32" authorId="0" shapeId="0" xr:uid="{00000000-0006-0000-0700-000032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2" authorId="0" shapeId="0" xr:uid="{00000000-0006-0000-0700-000033010000}">
      <text>
        <r>
          <rPr>
            <sz val="8"/>
            <color indexed="81"/>
            <rFont val="Tahoma"/>
            <family val="2"/>
          </rPr>
          <t>When selecting a
Corner or Bay 
Window Type, 
the 
CMB Corner WS 
or 
CMB Bay WS 
must be completed.</t>
        </r>
      </text>
    </comment>
    <comment ref="L32" authorId="0" shapeId="0" xr:uid="{00000000-0006-0000-0700-000034010000}">
      <text>
        <r>
          <rPr>
            <sz val="8"/>
            <color indexed="81"/>
            <rFont val="Tahoma"/>
            <family val="2"/>
          </rPr>
          <t>ACT 
Actual Measurements
You have made the allowances.
NAM
No Allowances Made 
The factory will make the deductions.</t>
        </r>
      </text>
    </comment>
    <comment ref="N32" authorId="0" shapeId="0" xr:uid="{00000000-0006-0000-0700-000035010000}">
      <text>
        <r>
          <rPr>
            <sz val="8"/>
            <color indexed="81"/>
            <rFont val="Tahoma"/>
            <family val="2"/>
          </rPr>
          <t>Track Colour options are;
Clear Anodised
Black
White
White Birch
Please note; 
All Blinds are supplied 
with a Clear Anodised Wand.</t>
        </r>
      </text>
    </comment>
    <comment ref="O32" authorId="0" shapeId="0" xr:uid="{00000000-0006-0000-0700-000036010000}">
      <text>
        <r>
          <rPr>
            <sz val="8"/>
            <color indexed="81"/>
            <rFont val="Tahoma"/>
            <family val="2"/>
          </rPr>
          <t xml:space="preserve">
Finish options;
Sewn In Pocket
Bottom Rail</t>
        </r>
      </text>
    </comment>
    <comment ref="P32" authorId="0" shapeId="0" xr:uid="{00000000-0006-0000-0700-000037010000}">
      <text>
        <r>
          <rPr>
            <sz val="8"/>
            <color indexed="81"/>
            <rFont val="Tahoma"/>
            <family val="2"/>
          </rPr>
          <t xml:space="preserve">
Bottom Rail Colour options;
Bright Silver
Clear Anodised
Metallic Black
Mocha
White
White Birch</t>
        </r>
      </text>
    </comment>
    <comment ref="Q32" authorId="0" shapeId="0" xr:uid="{00000000-0006-0000-0700-000038010000}">
      <text>
        <r>
          <rPr>
            <sz val="8"/>
            <color indexed="81"/>
            <rFont val="Tahoma"/>
            <family val="2"/>
          </rPr>
          <t>When
 Standard or Common 
is selected the 
Pelmet Colour 
must be entered.</t>
        </r>
      </text>
    </comment>
    <comment ref="D33" authorId="0" shapeId="0" xr:uid="{00000000-0006-0000-0700-000039010000}">
      <text>
        <r>
          <rPr>
            <sz val="8"/>
            <color indexed="81"/>
            <rFont val="Tahoma"/>
            <family val="2"/>
          </rPr>
          <t>Fabric options are;
Amalfi
Como (Blockout)
Como (Translucent)
Florence
London
Maui
Milan
Pompeii
Rome (Blockout)
Rome (Translucent)
Sunscreen</t>
        </r>
      </text>
    </comment>
    <comment ref="E33" authorId="0" shapeId="0" xr:uid="{00000000-0006-0000-0700-00003A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3" authorId="0" shapeId="0" xr:uid="{00000000-0006-0000-0700-00003B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3" authorId="0" shapeId="0" xr:uid="{00000000-0006-0000-0700-00003C010000}">
      <text>
        <r>
          <rPr>
            <sz val="8"/>
            <color indexed="81"/>
            <rFont val="Tahoma"/>
            <family val="2"/>
          </rPr>
          <t xml:space="preserve">Minimum Height/Drop is 500mm.
Maximum Height/Drop is 3000mm. </t>
        </r>
      </text>
    </comment>
    <comment ref="H33" authorId="0" shapeId="0" xr:uid="{00000000-0006-0000-0700-00003D010000}">
      <text>
        <r>
          <rPr>
            <sz val="8"/>
            <color indexed="81"/>
            <rFont val="Tahoma"/>
            <family val="2"/>
          </rPr>
          <t xml:space="preserve">
Panel Quantities 
options;
2
3
4
5
6
7
9
Please note; 
Minimum Panel Width is 400mm.
Maximum Panel Width is 1000mm.</t>
        </r>
      </text>
    </comment>
    <comment ref="I33" authorId="0" shapeId="0" xr:uid="{00000000-0006-0000-0700-00003E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3" authorId="0" shapeId="0" xr:uid="{00000000-0006-0000-0700-00003F010000}">
      <text>
        <r>
          <rPr>
            <sz val="8"/>
            <color indexed="81"/>
            <rFont val="Tahoma"/>
            <family val="2"/>
          </rPr>
          <t>When selecting a
Corner or Bay 
Window Type, 
the 
CMB Corner WS 
or 
CMB Bay WS 
must be completed.</t>
        </r>
      </text>
    </comment>
    <comment ref="L33" authorId="0" shapeId="0" xr:uid="{00000000-0006-0000-0700-000040010000}">
      <text>
        <r>
          <rPr>
            <sz val="8"/>
            <color indexed="81"/>
            <rFont val="Tahoma"/>
            <family val="2"/>
          </rPr>
          <t>ACT 
Actual Measurements
You have made the allowances.
NAM
No Allowances Made 
The factory will make the deductions.</t>
        </r>
      </text>
    </comment>
    <comment ref="N33" authorId="0" shapeId="0" xr:uid="{00000000-0006-0000-0700-000041010000}">
      <text>
        <r>
          <rPr>
            <sz val="8"/>
            <color indexed="81"/>
            <rFont val="Tahoma"/>
            <family val="2"/>
          </rPr>
          <t>Track Colour options are;
Clear Anodised
Black
White
White Birch
Please note; 
All Blinds are supplied 
with a Clear Anodised Wand.</t>
        </r>
      </text>
    </comment>
    <comment ref="O33" authorId="0" shapeId="0" xr:uid="{00000000-0006-0000-0700-000042010000}">
      <text>
        <r>
          <rPr>
            <sz val="8"/>
            <color indexed="81"/>
            <rFont val="Tahoma"/>
            <family val="2"/>
          </rPr>
          <t xml:space="preserve">
Finish options;
Sewn In Pocket
Bottom Rail</t>
        </r>
      </text>
    </comment>
    <comment ref="P33" authorId="0" shapeId="0" xr:uid="{00000000-0006-0000-0700-000043010000}">
      <text>
        <r>
          <rPr>
            <sz val="8"/>
            <color indexed="81"/>
            <rFont val="Tahoma"/>
            <family val="2"/>
          </rPr>
          <t xml:space="preserve">
Bottom Rail Colour options;
Bright Silver
Clear Anodised
Metallic Black
Mocha
White
White Birch</t>
        </r>
      </text>
    </comment>
    <comment ref="Q33" authorId="0" shapeId="0" xr:uid="{00000000-0006-0000-0700-000044010000}">
      <text>
        <r>
          <rPr>
            <sz val="8"/>
            <color indexed="81"/>
            <rFont val="Tahoma"/>
            <family val="2"/>
          </rPr>
          <t>When
 Standard or Common 
is selected the 
Pelmet Colour 
must be entered.</t>
        </r>
      </text>
    </comment>
    <comment ref="D34" authorId="0" shapeId="0" xr:uid="{00000000-0006-0000-0700-000045010000}">
      <text>
        <r>
          <rPr>
            <sz val="8"/>
            <color indexed="81"/>
            <rFont val="Tahoma"/>
            <family val="2"/>
          </rPr>
          <t>Fabric options are;
Amalfi
Como (Blockout)
Como (Translucent)
Florence
London
Maui
Milan
Pompeii
Rome (Blockout)
Rome (Translucent)
Sunscreen</t>
        </r>
      </text>
    </comment>
    <comment ref="E34" authorId="0" shapeId="0" xr:uid="{00000000-0006-0000-0700-000046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4" authorId="0" shapeId="0" xr:uid="{00000000-0006-0000-0700-000047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4" authorId="0" shapeId="0" xr:uid="{00000000-0006-0000-0700-000048010000}">
      <text>
        <r>
          <rPr>
            <sz val="8"/>
            <color indexed="81"/>
            <rFont val="Tahoma"/>
            <family val="2"/>
          </rPr>
          <t xml:space="preserve">Minimum Height/Drop is 500mm.
Maximum Height/Drop is 3000mm. </t>
        </r>
      </text>
    </comment>
    <comment ref="H34" authorId="0" shapeId="0" xr:uid="{00000000-0006-0000-0700-000049010000}">
      <text>
        <r>
          <rPr>
            <sz val="8"/>
            <color indexed="81"/>
            <rFont val="Tahoma"/>
            <family val="2"/>
          </rPr>
          <t xml:space="preserve">
Panel Quantities 
options;
2
3
4
5
6
7
9
Please note; 
Minimum Panel Width is 400mm.
Maximum Panel Width is 1000mm.</t>
        </r>
      </text>
    </comment>
    <comment ref="I34" authorId="0" shapeId="0" xr:uid="{00000000-0006-0000-0700-00004A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4" authorId="0" shapeId="0" xr:uid="{00000000-0006-0000-0700-00004B010000}">
      <text>
        <r>
          <rPr>
            <sz val="8"/>
            <color indexed="81"/>
            <rFont val="Tahoma"/>
            <family val="2"/>
          </rPr>
          <t>When selecting a
Corner or Bay 
Window Type, 
the 
CMB Corner WS 
or 
CMB Bay WS 
must be completed.</t>
        </r>
      </text>
    </comment>
    <comment ref="L34" authorId="0" shapeId="0" xr:uid="{00000000-0006-0000-0700-00004C010000}">
      <text>
        <r>
          <rPr>
            <sz val="8"/>
            <color indexed="81"/>
            <rFont val="Tahoma"/>
            <family val="2"/>
          </rPr>
          <t>ACT 
Actual Measurements
You have made the allowances.
NAM
No Allowances Made 
The factory will make the deductions.</t>
        </r>
      </text>
    </comment>
    <comment ref="N34" authorId="0" shapeId="0" xr:uid="{00000000-0006-0000-0700-00004D010000}">
      <text>
        <r>
          <rPr>
            <sz val="8"/>
            <color indexed="81"/>
            <rFont val="Tahoma"/>
            <family val="2"/>
          </rPr>
          <t>Track Colour options are;
Clear Anodised
Black
White
White Birch
Please note; 
All Blinds are supplied 
with a Clear Anodised Wand.</t>
        </r>
      </text>
    </comment>
    <comment ref="O34" authorId="0" shapeId="0" xr:uid="{00000000-0006-0000-0700-00004E010000}">
      <text>
        <r>
          <rPr>
            <sz val="8"/>
            <color indexed="81"/>
            <rFont val="Tahoma"/>
            <family val="2"/>
          </rPr>
          <t xml:space="preserve">
Finish options;
Sewn In Pocket
Bottom Rail</t>
        </r>
      </text>
    </comment>
    <comment ref="P34" authorId="0" shapeId="0" xr:uid="{00000000-0006-0000-0700-00004F010000}">
      <text>
        <r>
          <rPr>
            <sz val="8"/>
            <color indexed="81"/>
            <rFont val="Tahoma"/>
            <family val="2"/>
          </rPr>
          <t xml:space="preserve">
Bottom Rail Colour options;
Bright Silver
Clear Anodised
Metallic Black
Mocha
White
White Birch</t>
        </r>
      </text>
    </comment>
    <comment ref="Q34" authorId="0" shapeId="0" xr:uid="{00000000-0006-0000-0700-000050010000}">
      <text>
        <r>
          <rPr>
            <sz val="8"/>
            <color indexed="81"/>
            <rFont val="Tahoma"/>
            <family val="2"/>
          </rPr>
          <t>When
 Standard or Common 
is selected the 
Pelmet Colour 
must be entered.</t>
        </r>
      </text>
    </comment>
    <comment ref="D35" authorId="0" shapeId="0" xr:uid="{00000000-0006-0000-0700-000051010000}">
      <text>
        <r>
          <rPr>
            <sz val="8"/>
            <color indexed="81"/>
            <rFont val="Tahoma"/>
            <family val="2"/>
          </rPr>
          <t>Fabric options are;
Amalfi
Como (Blockout)
Como (Translucent)
Florence
London
Maui
Milan
Pompeii
Rome (Blockout)
Rome (Translucent)
Sunscreen</t>
        </r>
      </text>
    </comment>
    <comment ref="E35" authorId="0" shapeId="0" xr:uid="{00000000-0006-0000-0700-000052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5" authorId="0" shapeId="0" xr:uid="{00000000-0006-0000-0700-000053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5" authorId="0" shapeId="0" xr:uid="{00000000-0006-0000-0700-000054010000}">
      <text>
        <r>
          <rPr>
            <sz val="8"/>
            <color indexed="81"/>
            <rFont val="Tahoma"/>
            <family val="2"/>
          </rPr>
          <t xml:space="preserve">Minimum Height/Drop is 500mm.
Maximum Height/Drop is 3000mm. </t>
        </r>
      </text>
    </comment>
    <comment ref="H35" authorId="0" shapeId="0" xr:uid="{00000000-0006-0000-0700-000055010000}">
      <text>
        <r>
          <rPr>
            <sz val="8"/>
            <color indexed="81"/>
            <rFont val="Tahoma"/>
            <family val="2"/>
          </rPr>
          <t xml:space="preserve">
Panel Quantities 
options;
2
3
4
5
6
7
9
Please note; 
Minimum Panel Width is 400mm.
Maximum Panel Width is 1000mm.</t>
        </r>
      </text>
    </comment>
    <comment ref="I35" authorId="0" shapeId="0" xr:uid="{00000000-0006-0000-0700-000056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5" authorId="0" shapeId="0" xr:uid="{00000000-0006-0000-0700-000057010000}">
      <text>
        <r>
          <rPr>
            <sz val="8"/>
            <color indexed="81"/>
            <rFont val="Tahoma"/>
            <family val="2"/>
          </rPr>
          <t>When selecting a
Corner or Bay 
Window Type, 
the 
CMB Corner WS 
or 
CMB Bay WS 
must be completed.</t>
        </r>
      </text>
    </comment>
    <comment ref="L35" authorId="0" shapeId="0" xr:uid="{00000000-0006-0000-0700-000058010000}">
      <text>
        <r>
          <rPr>
            <sz val="8"/>
            <color indexed="81"/>
            <rFont val="Tahoma"/>
            <family val="2"/>
          </rPr>
          <t>ACT 
Actual Measurements
You have made the allowances.
NAM
No Allowances Made 
The factory will make the deductions.</t>
        </r>
      </text>
    </comment>
    <comment ref="N35" authorId="0" shapeId="0" xr:uid="{00000000-0006-0000-0700-000059010000}">
      <text>
        <r>
          <rPr>
            <sz val="8"/>
            <color indexed="81"/>
            <rFont val="Tahoma"/>
            <family val="2"/>
          </rPr>
          <t>Track Colour options are;
Clear Anodised
Black
White
White Birch
Please note; 
All Blinds are supplied 
with a Clear Anodised Wand.</t>
        </r>
      </text>
    </comment>
    <comment ref="O35" authorId="0" shapeId="0" xr:uid="{00000000-0006-0000-0700-00005A010000}">
      <text>
        <r>
          <rPr>
            <sz val="8"/>
            <color indexed="81"/>
            <rFont val="Tahoma"/>
            <family val="2"/>
          </rPr>
          <t xml:space="preserve">
Finish options;
Sewn In Pocket
Bottom Rail</t>
        </r>
      </text>
    </comment>
    <comment ref="P35" authorId="0" shapeId="0" xr:uid="{00000000-0006-0000-0700-00005B010000}">
      <text>
        <r>
          <rPr>
            <sz val="8"/>
            <color indexed="81"/>
            <rFont val="Tahoma"/>
            <family val="2"/>
          </rPr>
          <t xml:space="preserve">
Bottom Rail Colour options;
Bright Silver
Clear Anodised
Metallic Black
Mocha
White
White Birch</t>
        </r>
      </text>
    </comment>
    <comment ref="Q35" authorId="0" shapeId="0" xr:uid="{00000000-0006-0000-0700-00005C010000}">
      <text>
        <r>
          <rPr>
            <sz val="8"/>
            <color indexed="81"/>
            <rFont val="Tahoma"/>
            <family val="2"/>
          </rPr>
          <t>When
 Standard or Common 
is selected the 
Pelmet Colour 
must be entered.</t>
        </r>
      </text>
    </comment>
    <comment ref="D36" authorId="0" shapeId="0" xr:uid="{00000000-0006-0000-0700-00005D010000}">
      <text>
        <r>
          <rPr>
            <sz val="8"/>
            <color indexed="81"/>
            <rFont val="Tahoma"/>
            <family val="2"/>
          </rPr>
          <t>Fabric options are;
Amalfi
Como (Blockout)
Como (Translucent)
Florence
London
Maui
Milan
Pompeii
Rome (Blockout)
Rome (Translucent)
Sunscreen</t>
        </r>
      </text>
    </comment>
    <comment ref="E36" authorId="0" shapeId="0" xr:uid="{00000000-0006-0000-0700-00005E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6" authorId="0" shapeId="0" xr:uid="{00000000-0006-0000-0700-00005F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6" authorId="0" shapeId="0" xr:uid="{00000000-0006-0000-0700-000060010000}">
      <text>
        <r>
          <rPr>
            <sz val="8"/>
            <color indexed="81"/>
            <rFont val="Tahoma"/>
            <family val="2"/>
          </rPr>
          <t xml:space="preserve">Minimum Height/Drop is 500mm.
Maximum Height/Drop is 3000mm. </t>
        </r>
      </text>
    </comment>
    <comment ref="H36" authorId="0" shapeId="0" xr:uid="{00000000-0006-0000-0700-000061010000}">
      <text>
        <r>
          <rPr>
            <sz val="8"/>
            <color indexed="81"/>
            <rFont val="Tahoma"/>
            <family val="2"/>
          </rPr>
          <t xml:space="preserve">
Panel Quantities 
options;
2
3
4
5
6
7
9
Please note; 
Minimum Panel Width is 400mm.
Maximum Panel Width is 1000mm.</t>
        </r>
      </text>
    </comment>
    <comment ref="I36" authorId="0" shapeId="0" xr:uid="{00000000-0006-0000-0700-000062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6" authorId="0" shapeId="0" xr:uid="{00000000-0006-0000-0700-000063010000}">
      <text>
        <r>
          <rPr>
            <sz val="8"/>
            <color indexed="81"/>
            <rFont val="Tahoma"/>
            <family val="2"/>
          </rPr>
          <t>When selecting a
Corner or Bay 
Window Type, 
the 
CMB Corner WS 
or 
CMB Bay WS 
must be completed.</t>
        </r>
      </text>
    </comment>
    <comment ref="L36" authorId="0" shapeId="0" xr:uid="{00000000-0006-0000-0700-000064010000}">
      <text>
        <r>
          <rPr>
            <sz val="8"/>
            <color indexed="81"/>
            <rFont val="Tahoma"/>
            <family val="2"/>
          </rPr>
          <t>ACT 
Actual Measurements
You have made the allowances.
NAM
No Allowances Made 
The factory will make the deductions.</t>
        </r>
      </text>
    </comment>
    <comment ref="N36" authorId="0" shapeId="0" xr:uid="{00000000-0006-0000-0700-000065010000}">
      <text>
        <r>
          <rPr>
            <sz val="8"/>
            <color indexed="81"/>
            <rFont val="Tahoma"/>
            <family val="2"/>
          </rPr>
          <t>Track Colour options are;
Clear Anodised
Black
White
White Birch
Please note; 
All Blinds are supplied 
with a Clear Anodised Wand.</t>
        </r>
      </text>
    </comment>
    <comment ref="O36" authorId="0" shapeId="0" xr:uid="{00000000-0006-0000-0700-000066010000}">
      <text>
        <r>
          <rPr>
            <sz val="8"/>
            <color indexed="81"/>
            <rFont val="Tahoma"/>
            <family val="2"/>
          </rPr>
          <t xml:space="preserve">
Finish options;
Sewn In Pocket
Bottom Rail</t>
        </r>
      </text>
    </comment>
    <comment ref="P36" authorId="0" shapeId="0" xr:uid="{00000000-0006-0000-0700-000067010000}">
      <text>
        <r>
          <rPr>
            <sz val="8"/>
            <color indexed="81"/>
            <rFont val="Tahoma"/>
            <family val="2"/>
          </rPr>
          <t xml:space="preserve">
Bottom Rail Colour options;
Bright Silver
Clear Anodised
Metallic Black
Mocha
White
White Birch</t>
        </r>
      </text>
    </comment>
    <comment ref="Q36" authorId="0" shapeId="0" xr:uid="{00000000-0006-0000-0700-000068010000}">
      <text>
        <r>
          <rPr>
            <sz val="8"/>
            <color indexed="81"/>
            <rFont val="Tahoma"/>
            <family val="2"/>
          </rPr>
          <t>When
 Standard or Common 
is selected the 
Pelmet Colour 
must be entered.</t>
        </r>
      </text>
    </comment>
    <comment ref="D37" authorId="0" shapeId="0" xr:uid="{00000000-0006-0000-0700-000069010000}">
      <text>
        <r>
          <rPr>
            <sz val="8"/>
            <color indexed="81"/>
            <rFont val="Tahoma"/>
            <family val="2"/>
          </rPr>
          <t>Fabric options are;
Amalfi
Como (Blockout)
Como (Translucent)
Florence
London
Maui
Milan
Pompeii
Rome (Blockout)
Rome (Translucent)
Sunscreen</t>
        </r>
      </text>
    </comment>
    <comment ref="E37" authorId="0" shapeId="0" xr:uid="{00000000-0006-0000-0700-00006A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7" authorId="0" shapeId="0" xr:uid="{00000000-0006-0000-0700-00006B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7" authorId="0" shapeId="0" xr:uid="{00000000-0006-0000-0700-00006C010000}">
      <text>
        <r>
          <rPr>
            <sz val="8"/>
            <color indexed="81"/>
            <rFont val="Tahoma"/>
            <family val="2"/>
          </rPr>
          <t xml:space="preserve">Minimum Height/Drop is 500mm.
Maximum Height/Drop is 3000mm. </t>
        </r>
      </text>
    </comment>
    <comment ref="H37" authorId="0" shapeId="0" xr:uid="{00000000-0006-0000-0700-00006D010000}">
      <text>
        <r>
          <rPr>
            <sz val="8"/>
            <color indexed="81"/>
            <rFont val="Tahoma"/>
            <family val="2"/>
          </rPr>
          <t xml:space="preserve">
Panel Quantities 
options;
2
3
4
5
6
7
9
Please note; 
Minimum Panel Width is 400mm.
Maximum Panel Width is 1000mm.</t>
        </r>
      </text>
    </comment>
    <comment ref="I37" authorId="0" shapeId="0" xr:uid="{00000000-0006-0000-0700-00006E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7" authorId="0" shapeId="0" xr:uid="{00000000-0006-0000-0700-00006F010000}">
      <text>
        <r>
          <rPr>
            <sz val="8"/>
            <color indexed="81"/>
            <rFont val="Tahoma"/>
            <family val="2"/>
          </rPr>
          <t>When selecting a
Corner or Bay 
Window Type, 
the 
CMB Corner WS 
or 
CMB Bay WS 
must be completed.</t>
        </r>
      </text>
    </comment>
    <comment ref="L37" authorId="0" shapeId="0" xr:uid="{00000000-0006-0000-0700-000070010000}">
      <text>
        <r>
          <rPr>
            <sz val="8"/>
            <color indexed="81"/>
            <rFont val="Tahoma"/>
            <family val="2"/>
          </rPr>
          <t>ACT 
Actual Measurements
You have made the allowances.
NAM
No Allowances Made 
The factory will make the deductions.</t>
        </r>
      </text>
    </comment>
    <comment ref="N37" authorId="0" shapeId="0" xr:uid="{00000000-0006-0000-0700-000071010000}">
      <text>
        <r>
          <rPr>
            <sz val="8"/>
            <color indexed="81"/>
            <rFont val="Tahoma"/>
            <family val="2"/>
          </rPr>
          <t>Track Colour options are;
Clear Anodised
Black
White
White Birch
Please note; 
All Blinds are supplied 
with a Clear Anodised Wand.</t>
        </r>
      </text>
    </comment>
    <comment ref="O37" authorId="0" shapeId="0" xr:uid="{00000000-0006-0000-0700-000072010000}">
      <text>
        <r>
          <rPr>
            <sz val="8"/>
            <color indexed="81"/>
            <rFont val="Tahoma"/>
            <family val="2"/>
          </rPr>
          <t xml:space="preserve">
Finish options;
Sewn In Pocket
Bottom Rail</t>
        </r>
      </text>
    </comment>
    <comment ref="P37" authorId="0" shapeId="0" xr:uid="{00000000-0006-0000-0700-000073010000}">
      <text>
        <r>
          <rPr>
            <sz val="8"/>
            <color indexed="81"/>
            <rFont val="Tahoma"/>
            <family val="2"/>
          </rPr>
          <t xml:space="preserve">
Bottom Rail Colour options;
Bright Silver
Clear Anodised
Metallic Black
Mocha
White
White Birch</t>
        </r>
      </text>
    </comment>
    <comment ref="Q37" authorId="0" shapeId="0" xr:uid="{00000000-0006-0000-0700-000074010000}">
      <text>
        <r>
          <rPr>
            <sz val="8"/>
            <color indexed="81"/>
            <rFont val="Tahoma"/>
            <family val="2"/>
          </rPr>
          <t>When
 Standard or Common 
is selected the 
Pelmet Colour 
must be entered.</t>
        </r>
      </text>
    </comment>
    <comment ref="D38" authorId="0" shapeId="0" xr:uid="{00000000-0006-0000-0700-000075010000}">
      <text>
        <r>
          <rPr>
            <sz val="8"/>
            <color indexed="81"/>
            <rFont val="Tahoma"/>
            <family val="2"/>
          </rPr>
          <t>Fabric options are;
Amalfi
Como (Blockout)
Como (Translucent)
Florence
London
Maui
Milan
Pompeii
Rome (Blockout)
Rome (Translucent)
Sunscreen</t>
        </r>
      </text>
    </comment>
    <comment ref="E38" authorId="0" shapeId="0" xr:uid="{00000000-0006-0000-0700-000076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8" authorId="0" shapeId="0" xr:uid="{00000000-0006-0000-0700-000077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8" authorId="0" shapeId="0" xr:uid="{00000000-0006-0000-0700-000078010000}">
      <text>
        <r>
          <rPr>
            <sz val="8"/>
            <color indexed="81"/>
            <rFont val="Tahoma"/>
            <family val="2"/>
          </rPr>
          <t xml:space="preserve">Minimum Height/Drop is 500mm.
Maximum Height/Drop is 3000mm. </t>
        </r>
      </text>
    </comment>
    <comment ref="H38" authorId="0" shapeId="0" xr:uid="{00000000-0006-0000-0700-000079010000}">
      <text>
        <r>
          <rPr>
            <sz val="8"/>
            <color indexed="81"/>
            <rFont val="Tahoma"/>
            <family val="2"/>
          </rPr>
          <t xml:space="preserve">
Panel Quantities 
options;
2
3
4
5
6
7
9
Please note; 
Minimum Panel Width is 400mm.
Maximum Panel Width is 1000mm.</t>
        </r>
      </text>
    </comment>
    <comment ref="I38" authorId="0" shapeId="0" xr:uid="{00000000-0006-0000-0700-00007A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8" authorId="0" shapeId="0" xr:uid="{00000000-0006-0000-0700-00007B010000}">
      <text>
        <r>
          <rPr>
            <sz val="8"/>
            <color indexed="81"/>
            <rFont val="Tahoma"/>
            <family val="2"/>
          </rPr>
          <t>When selecting a
Corner or Bay 
Window Type, 
the 
CMB Corner WS 
or 
CMB Bay WS 
must be completed.</t>
        </r>
      </text>
    </comment>
    <comment ref="L38" authorId="0" shapeId="0" xr:uid="{00000000-0006-0000-0700-00007C010000}">
      <text>
        <r>
          <rPr>
            <sz val="8"/>
            <color indexed="81"/>
            <rFont val="Tahoma"/>
            <family val="2"/>
          </rPr>
          <t>ACT 
Actual Measurements
You have made the allowances.
NAM
No Allowances Made 
The factory will make the deductions.</t>
        </r>
      </text>
    </comment>
    <comment ref="N38" authorId="0" shapeId="0" xr:uid="{00000000-0006-0000-0700-00007D010000}">
      <text>
        <r>
          <rPr>
            <sz val="8"/>
            <color indexed="81"/>
            <rFont val="Tahoma"/>
            <family val="2"/>
          </rPr>
          <t>Track Colour options are;
Clear Anodised
Black
White
White Birch
Please note; 
All Blinds are supplied 
with a Clear Anodised Wand.</t>
        </r>
      </text>
    </comment>
    <comment ref="O38" authorId="0" shapeId="0" xr:uid="{00000000-0006-0000-0700-00007E010000}">
      <text>
        <r>
          <rPr>
            <sz val="8"/>
            <color indexed="81"/>
            <rFont val="Tahoma"/>
            <family val="2"/>
          </rPr>
          <t xml:space="preserve">
Finish options;
Sewn In Pocket
Bottom Rail</t>
        </r>
      </text>
    </comment>
    <comment ref="P38" authorId="0" shapeId="0" xr:uid="{00000000-0006-0000-0700-00007F010000}">
      <text>
        <r>
          <rPr>
            <sz val="8"/>
            <color indexed="81"/>
            <rFont val="Tahoma"/>
            <family val="2"/>
          </rPr>
          <t xml:space="preserve">
Bottom Rail Colour options;
Bright Silver
Clear Anodised
Metallic Black
Mocha
White
White Birch</t>
        </r>
      </text>
    </comment>
    <comment ref="Q38" authorId="0" shapeId="0" xr:uid="{00000000-0006-0000-0700-000080010000}">
      <text>
        <r>
          <rPr>
            <sz val="8"/>
            <color indexed="81"/>
            <rFont val="Tahoma"/>
            <family val="2"/>
          </rPr>
          <t>When
 Standard or Common 
is selected the 
Pelmet Colour 
must be entered.</t>
        </r>
      </text>
    </comment>
    <comment ref="D39" authorId="0" shapeId="0" xr:uid="{00000000-0006-0000-0700-000081010000}">
      <text>
        <r>
          <rPr>
            <sz val="8"/>
            <color indexed="81"/>
            <rFont val="Tahoma"/>
            <family val="2"/>
          </rPr>
          <t>Fabric options are;
Amalfi
Como (Blockout)
Como (Translucent)
Florence
London
Maui
Milan
Pompeii
Rome (Blockout)
Rome (Translucent)
Sunscreen</t>
        </r>
      </text>
    </comment>
    <comment ref="E39" authorId="0" shapeId="0" xr:uid="{00000000-0006-0000-0700-000082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9" authorId="0" shapeId="0" xr:uid="{00000000-0006-0000-0700-000083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9" authorId="0" shapeId="0" xr:uid="{00000000-0006-0000-0700-000084010000}">
      <text>
        <r>
          <rPr>
            <sz val="8"/>
            <color indexed="81"/>
            <rFont val="Tahoma"/>
            <family val="2"/>
          </rPr>
          <t xml:space="preserve">Minimum Height/Drop is 500mm.
Maximum Height/Drop is 3000mm. </t>
        </r>
      </text>
    </comment>
    <comment ref="H39" authorId="0" shapeId="0" xr:uid="{00000000-0006-0000-0700-000085010000}">
      <text>
        <r>
          <rPr>
            <sz val="8"/>
            <color indexed="81"/>
            <rFont val="Tahoma"/>
            <family val="2"/>
          </rPr>
          <t xml:space="preserve">
Panel Quantities 
options;
2
3
4
5
6
7
9
Please note; 
Minimum Panel Width is 400mm.
Maximum Panel Width is 1000mm.</t>
        </r>
      </text>
    </comment>
    <comment ref="I39" authorId="0" shapeId="0" xr:uid="{00000000-0006-0000-0700-000086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9" authorId="0" shapeId="0" xr:uid="{00000000-0006-0000-0700-000087010000}">
      <text>
        <r>
          <rPr>
            <sz val="8"/>
            <color indexed="81"/>
            <rFont val="Tahoma"/>
            <family val="2"/>
          </rPr>
          <t>When selecting a
Corner or Bay 
Window Type, 
the 
CMB Corner WS 
or 
CMB Bay WS 
must be completed.</t>
        </r>
      </text>
    </comment>
    <comment ref="L39" authorId="0" shapeId="0" xr:uid="{00000000-0006-0000-0700-000088010000}">
      <text>
        <r>
          <rPr>
            <sz val="8"/>
            <color indexed="81"/>
            <rFont val="Tahoma"/>
            <family val="2"/>
          </rPr>
          <t>ACT 
Actual Measurements
You have made the allowances.
NAM
No Allowances Made 
The factory will make the deductions.</t>
        </r>
      </text>
    </comment>
    <comment ref="N39" authorId="0" shapeId="0" xr:uid="{00000000-0006-0000-0700-000089010000}">
      <text>
        <r>
          <rPr>
            <sz val="8"/>
            <color indexed="81"/>
            <rFont val="Tahoma"/>
            <family val="2"/>
          </rPr>
          <t>Track Colour options are;
Clear Anodised
Black
White
White Birch
Please note; 
All Blinds are supplied 
with a Clear Anodised Wand.</t>
        </r>
      </text>
    </comment>
    <comment ref="O39" authorId="0" shapeId="0" xr:uid="{00000000-0006-0000-0700-00008A010000}">
      <text>
        <r>
          <rPr>
            <sz val="8"/>
            <color indexed="81"/>
            <rFont val="Tahoma"/>
            <family val="2"/>
          </rPr>
          <t xml:space="preserve">
Finish options;
Sewn In Pocket
Bottom Rail</t>
        </r>
      </text>
    </comment>
    <comment ref="P39" authorId="0" shapeId="0" xr:uid="{00000000-0006-0000-0700-00008B010000}">
      <text>
        <r>
          <rPr>
            <sz val="8"/>
            <color indexed="81"/>
            <rFont val="Tahoma"/>
            <family val="2"/>
          </rPr>
          <t xml:space="preserve">
Bottom Rail Colour options;
Bright Silver
Clear Anodised
Metallic Black
Mocha
White
White Birch</t>
        </r>
      </text>
    </comment>
    <comment ref="Q39" authorId="0" shapeId="0" xr:uid="{00000000-0006-0000-0700-00008C010000}">
      <text>
        <r>
          <rPr>
            <sz val="8"/>
            <color indexed="81"/>
            <rFont val="Tahoma"/>
            <family val="2"/>
          </rPr>
          <t>When
 Standard or Common 
is selected the 
Pelmet Colour 
must be entered.</t>
        </r>
      </text>
    </comment>
    <comment ref="D40" authorId="0" shapeId="0" xr:uid="{00000000-0006-0000-0700-00008D010000}">
      <text>
        <r>
          <rPr>
            <sz val="8"/>
            <color indexed="81"/>
            <rFont val="Tahoma"/>
            <family val="2"/>
          </rPr>
          <t>Fabric options are;
Amalfi
Como (Blockout)
Como (Translucent)
Florence
London
Maui
Milan
Pompeii
Rome (Blockout)
Rome (Translucent)
Sunscreen</t>
        </r>
      </text>
    </comment>
    <comment ref="E40" authorId="0" shapeId="0" xr:uid="{00000000-0006-0000-0700-00008E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0" authorId="0" shapeId="0" xr:uid="{00000000-0006-0000-0700-00008F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0" authorId="0" shapeId="0" xr:uid="{00000000-0006-0000-0700-000090010000}">
      <text>
        <r>
          <rPr>
            <sz val="8"/>
            <color indexed="81"/>
            <rFont val="Tahoma"/>
            <family val="2"/>
          </rPr>
          <t xml:space="preserve">Minimum Height/Drop is 500mm.
Maximum Height/Drop is 3000mm. </t>
        </r>
      </text>
    </comment>
    <comment ref="H40" authorId="0" shapeId="0" xr:uid="{00000000-0006-0000-0700-000091010000}">
      <text>
        <r>
          <rPr>
            <sz val="8"/>
            <color indexed="81"/>
            <rFont val="Tahoma"/>
            <family val="2"/>
          </rPr>
          <t xml:space="preserve">
Panel Quantities 
options;
2
3
4
5
6
7
9
Please note; 
Minimum Panel Width is 400mm.
Maximum Panel Width is 1000mm.</t>
        </r>
      </text>
    </comment>
    <comment ref="I40" authorId="0" shapeId="0" xr:uid="{00000000-0006-0000-0700-000092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0" authorId="0" shapeId="0" xr:uid="{00000000-0006-0000-0700-000093010000}">
      <text>
        <r>
          <rPr>
            <sz val="8"/>
            <color indexed="81"/>
            <rFont val="Tahoma"/>
            <family val="2"/>
          </rPr>
          <t>When selecting a
Corner or Bay 
Window Type, 
the 
CMB Corner WS 
or 
CMB Bay WS 
must be completed.</t>
        </r>
      </text>
    </comment>
    <comment ref="L40" authorId="0" shapeId="0" xr:uid="{00000000-0006-0000-0700-000094010000}">
      <text>
        <r>
          <rPr>
            <sz val="8"/>
            <color indexed="81"/>
            <rFont val="Tahoma"/>
            <family val="2"/>
          </rPr>
          <t>ACT 
Actual Measurements
You have made the allowances.
NAM
No Allowances Made 
The factory will make the deductions.</t>
        </r>
      </text>
    </comment>
    <comment ref="N40" authorId="0" shapeId="0" xr:uid="{00000000-0006-0000-0700-000095010000}">
      <text>
        <r>
          <rPr>
            <sz val="8"/>
            <color indexed="81"/>
            <rFont val="Tahoma"/>
            <family val="2"/>
          </rPr>
          <t>Track Colour options are;
Clear Anodised
Black
White
White Birch
Please note; 
All Blinds are supplied 
with a Clear Anodised Wand.</t>
        </r>
      </text>
    </comment>
    <comment ref="O40" authorId="0" shapeId="0" xr:uid="{00000000-0006-0000-0700-000096010000}">
      <text>
        <r>
          <rPr>
            <sz val="8"/>
            <color indexed="81"/>
            <rFont val="Tahoma"/>
            <family val="2"/>
          </rPr>
          <t xml:space="preserve">
Finish options;
Sewn In Pocket
Bottom Rail</t>
        </r>
      </text>
    </comment>
    <comment ref="P40" authorId="0" shapeId="0" xr:uid="{00000000-0006-0000-0700-000097010000}">
      <text>
        <r>
          <rPr>
            <sz val="8"/>
            <color indexed="81"/>
            <rFont val="Tahoma"/>
            <family val="2"/>
          </rPr>
          <t xml:space="preserve">
Bottom Rail Colour options;
Bright Silver
Clear Anodised
Metallic Black
Mocha
White
White Birch</t>
        </r>
      </text>
    </comment>
    <comment ref="Q40" authorId="0" shapeId="0" xr:uid="{00000000-0006-0000-0700-000098010000}">
      <text>
        <r>
          <rPr>
            <sz val="8"/>
            <color indexed="81"/>
            <rFont val="Tahoma"/>
            <family val="2"/>
          </rPr>
          <t>When
 Standard or Common 
is selected the 
Pelmet Colour 
must be entered.</t>
        </r>
      </text>
    </comment>
    <comment ref="D41" authorId="0" shapeId="0" xr:uid="{00000000-0006-0000-0700-000099010000}">
      <text>
        <r>
          <rPr>
            <sz val="8"/>
            <color indexed="81"/>
            <rFont val="Tahoma"/>
            <family val="2"/>
          </rPr>
          <t>Fabric options are;
Amalfi
Como (Blockout)
Como (Translucent)
Florence
London
Maui
Milan
Pompeii
Rome (Blockout)
Rome (Translucent)
Sunscreen</t>
        </r>
      </text>
    </comment>
    <comment ref="E41" authorId="0" shapeId="0" xr:uid="{00000000-0006-0000-0700-00009A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1" authorId="0" shapeId="0" xr:uid="{00000000-0006-0000-0700-00009B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1" authorId="0" shapeId="0" xr:uid="{00000000-0006-0000-0700-00009C010000}">
      <text>
        <r>
          <rPr>
            <sz val="8"/>
            <color indexed="81"/>
            <rFont val="Tahoma"/>
            <family val="2"/>
          </rPr>
          <t xml:space="preserve">Minimum Height/Drop is 500mm.
Maximum Height/Drop is 3000mm. </t>
        </r>
      </text>
    </comment>
    <comment ref="H41" authorId="0" shapeId="0" xr:uid="{00000000-0006-0000-0700-00009D010000}">
      <text>
        <r>
          <rPr>
            <sz val="8"/>
            <color indexed="81"/>
            <rFont val="Tahoma"/>
            <family val="2"/>
          </rPr>
          <t xml:space="preserve">
Panel Quantities 
options;
2
3
4
5
6
7
9
Please note; 
Minimum Panel Width is 400mm.
Maximum Panel Width is 1000mm.</t>
        </r>
      </text>
    </comment>
    <comment ref="I41" authorId="0" shapeId="0" xr:uid="{00000000-0006-0000-0700-00009E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1" authorId="0" shapeId="0" xr:uid="{00000000-0006-0000-0700-00009F010000}">
      <text>
        <r>
          <rPr>
            <sz val="8"/>
            <color indexed="81"/>
            <rFont val="Tahoma"/>
            <family val="2"/>
          </rPr>
          <t>When selecting a
Corner or Bay 
Window Type, 
the 
CMB Corner WS 
or 
CMB Bay WS 
must be completed.</t>
        </r>
      </text>
    </comment>
    <comment ref="L41" authorId="0" shapeId="0" xr:uid="{00000000-0006-0000-0700-0000A0010000}">
      <text>
        <r>
          <rPr>
            <sz val="8"/>
            <color indexed="81"/>
            <rFont val="Tahoma"/>
            <family val="2"/>
          </rPr>
          <t>ACT 
Actual Measurements
You have made the allowances.
NAM
No Allowances Made 
The factory will make the deductions.</t>
        </r>
      </text>
    </comment>
    <comment ref="N41" authorId="0" shapeId="0" xr:uid="{00000000-0006-0000-0700-0000A1010000}">
      <text>
        <r>
          <rPr>
            <sz val="8"/>
            <color indexed="81"/>
            <rFont val="Tahoma"/>
            <family val="2"/>
          </rPr>
          <t>Track Colour options are;
Clear Anodised
Black
White
White Birch
Please note; 
All Blinds are supplied 
with a Clear Anodised Wand.</t>
        </r>
      </text>
    </comment>
    <comment ref="O41" authorId="0" shapeId="0" xr:uid="{00000000-0006-0000-0700-0000A2010000}">
      <text>
        <r>
          <rPr>
            <sz val="8"/>
            <color indexed="81"/>
            <rFont val="Tahoma"/>
            <family val="2"/>
          </rPr>
          <t xml:space="preserve">
Finish options;
Sewn In Pocket
Bottom Rail</t>
        </r>
      </text>
    </comment>
    <comment ref="P41" authorId="0" shapeId="0" xr:uid="{00000000-0006-0000-0700-0000A3010000}">
      <text>
        <r>
          <rPr>
            <sz val="8"/>
            <color indexed="81"/>
            <rFont val="Tahoma"/>
            <family val="2"/>
          </rPr>
          <t xml:space="preserve">
Bottom Rail Colour options;
Bright Silver
Clear Anodised
Metallic Black
Mocha
White
White Birch</t>
        </r>
      </text>
    </comment>
    <comment ref="Q41" authorId="0" shapeId="0" xr:uid="{00000000-0006-0000-0700-0000A4010000}">
      <text>
        <r>
          <rPr>
            <sz val="8"/>
            <color indexed="81"/>
            <rFont val="Tahoma"/>
            <family val="2"/>
          </rPr>
          <t>When
 Standard or Common 
is selected the 
Pelmet Colour 
must be entered.</t>
        </r>
      </text>
    </comment>
    <comment ref="D42" authorId="0" shapeId="0" xr:uid="{00000000-0006-0000-0700-0000A5010000}">
      <text>
        <r>
          <rPr>
            <sz val="8"/>
            <color indexed="81"/>
            <rFont val="Tahoma"/>
            <family val="2"/>
          </rPr>
          <t>Fabric options are;
Amalfi
Como (Blockout)
Como (Translucent)
Florence
London
Maui
Milan
Pompeii
Rome (Blockout)
Rome (Translucent)
Sunscreen</t>
        </r>
      </text>
    </comment>
    <comment ref="E42" authorId="0" shapeId="0" xr:uid="{00000000-0006-0000-0700-0000A6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2" authorId="0" shapeId="0" xr:uid="{00000000-0006-0000-0700-0000A7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2" authorId="0" shapeId="0" xr:uid="{00000000-0006-0000-0700-0000A8010000}">
      <text>
        <r>
          <rPr>
            <sz val="8"/>
            <color indexed="81"/>
            <rFont val="Tahoma"/>
            <family val="2"/>
          </rPr>
          <t xml:space="preserve">Minimum Height/Drop is 500mm.
Maximum Height/Drop is 3000mm. </t>
        </r>
      </text>
    </comment>
    <comment ref="H42" authorId="0" shapeId="0" xr:uid="{00000000-0006-0000-0700-0000A9010000}">
      <text>
        <r>
          <rPr>
            <sz val="8"/>
            <color indexed="81"/>
            <rFont val="Tahoma"/>
            <family val="2"/>
          </rPr>
          <t xml:space="preserve">
Panel Quantities 
options;
2
3
4
5
6
7
9
Please note; 
Minimum Panel Width is 400mm.
Maximum Panel Width is 1000mm.</t>
        </r>
      </text>
    </comment>
    <comment ref="I42" authorId="0" shapeId="0" xr:uid="{00000000-0006-0000-0700-0000AA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2" authorId="0" shapeId="0" xr:uid="{00000000-0006-0000-0700-0000AB010000}">
      <text>
        <r>
          <rPr>
            <sz val="8"/>
            <color indexed="81"/>
            <rFont val="Tahoma"/>
            <family val="2"/>
          </rPr>
          <t>When selecting a
Corner or Bay 
Window Type, 
the 
CMB Corner WS 
or 
CMB Bay WS 
must be completed.</t>
        </r>
      </text>
    </comment>
    <comment ref="L42" authorId="0" shapeId="0" xr:uid="{00000000-0006-0000-0700-0000AC010000}">
      <text>
        <r>
          <rPr>
            <sz val="8"/>
            <color indexed="81"/>
            <rFont val="Tahoma"/>
            <family val="2"/>
          </rPr>
          <t>ACT 
Actual Measurements
You have made the allowances.
NAM
No Allowances Made 
The factory will make the deductions.</t>
        </r>
      </text>
    </comment>
    <comment ref="N42" authorId="0" shapeId="0" xr:uid="{00000000-0006-0000-0700-0000AD010000}">
      <text>
        <r>
          <rPr>
            <sz val="8"/>
            <color indexed="81"/>
            <rFont val="Tahoma"/>
            <family val="2"/>
          </rPr>
          <t>Track Colour options are;
Clear Anodised
Black
White
White Birch
Please note; 
All Blinds are supplied 
with a Clear Anodised Wand.</t>
        </r>
      </text>
    </comment>
    <comment ref="O42" authorId="0" shapeId="0" xr:uid="{00000000-0006-0000-0700-0000AE010000}">
      <text>
        <r>
          <rPr>
            <sz val="8"/>
            <color indexed="81"/>
            <rFont val="Tahoma"/>
            <family val="2"/>
          </rPr>
          <t xml:space="preserve">
Finish options;
Sewn In Pocket
Bottom Rail</t>
        </r>
      </text>
    </comment>
    <comment ref="P42" authorId="0" shapeId="0" xr:uid="{00000000-0006-0000-0700-0000AF010000}">
      <text>
        <r>
          <rPr>
            <sz val="8"/>
            <color indexed="81"/>
            <rFont val="Tahoma"/>
            <family val="2"/>
          </rPr>
          <t xml:space="preserve">
Bottom Rail Colour options;
Bright Silver
Clear Anodised
Metallic Black
Mocha
White
White Birch</t>
        </r>
      </text>
    </comment>
    <comment ref="Q42" authorId="0" shapeId="0" xr:uid="{00000000-0006-0000-0700-0000B0010000}">
      <text>
        <r>
          <rPr>
            <sz val="8"/>
            <color indexed="81"/>
            <rFont val="Tahoma"/>
            <family val="2"/>
          </rPr>
          <t>When
 Standard or Common 
is selected the 
Pelmet Colour 
must be entered.</t>
        </r>
      </text>
    </comment>
    <comment ref="D43" authorId="0" shapeId="0" xr:uid="{00000000-0006-0000-0700-0000B1010000}">
      <text>
        <r>
          <rPr>
            <sz val="8"/>
            <color indexed="81"/>
            <rFont val="Tahoma"/>
            <family val="2"/>
          </rPr>
          <t>Fabric options are;
Amalfi
Como (Blockout)
Como (Translucent)
Florence
London
Maui
Milan
Pompeii
Rome (Blockout)
Rome (Translucent)
Sunscreen</t>
        </r>
      </text>
    </comment>
    <comment ref="E43" authorId="0" shapeId="0" xr:uid="{00000000-0006-0000-0700-0000B2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3" authorId="0" shapeId="0" xr:uid="{00000000-0006-0000-0700-0000B3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3" authorId="0" shapeId="0" xr:uid="{00000000-0006-0000-0700-0000B4010000}">
      <text>
        <r>
          <rPr>
            <sz val="8"/>
            <color indexed="81"/>
            <rFont val="Tahoma"/>
            <family val="2"/>
          </rPr>
          <t xml:space="preserve">Minimum Height/Drop is 500mm.
Maximum Height/Drop is 3000mm. </t>
        </r>
      </text>
    </comment>
    <comment ref="H43" authorId="0" shapeId="0" xr:uid="{00000000-0006-0000-0700-0000B5010000}">
      <text>
        <r>
          <rPr>
            <sz val="8"/>
            <color indexed="81"/>
            <rFont val="Tahoma"/>
            <family val="2"/>
          </rPr>
          <t xml:space="preserve">
Panel Quantities 
options;
2
3
4
5
6
7
9
Please note; 
Minimum Panel Width is 400mm.
Maximum Panel Width is 1000mm.</t>
        </r>
      </text>
    </comment>
    <comment ref="I43" authorId="0" shapeId="0" xr:uid="{00000000-0006-0000-0700-0000B6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3" authorId="0" shapeId="0" xr:uid="{00000000-0006-0000-0700-0000B7010000}">
      <text>
        <r>
          <rPr>
            <sz val="8"/>
            <color indexed="81"/>
            <rFont val="Tahoma"/>
            <family val="2"/>
          </rPr>
          <t>When selecting a
Corner or Bay 
Window Type, 
the 
CMB Corner WS 
or 
CMB Bay WS 
must be completed.</t>
        </r>
      </text>
    </comment>
    <comment ref="L43" authorId="0" shapeId="0" xr:uid="{00000000-0006-0000-0700-0000B8010000}">
      <text>
        <r>
          <rPr>
            <sz val="8"/>
            <color indexed="81"/>
            <rFont val="Tahoma"/>
            <family val="2"/>
          </rPr>
          <t>ACT 
Actual Measurements
You have made the allowances.
NAM
No Allowances Made 
The factory will make the deductions.</t>
        </r>
      </text>
    </comment>
    <comment ref="N43" authorId="0" shapeId="0" xr:uid="{00000000-0006-0000-0700-0000B9010000}">
      <text>
        <r>
          <rPr>
            <sz val="8"/>
            <color indexed="81"/>
            <rFont val="Tahoma"/>
            <family val="2"/>
          </rPr>
          <t>Track Colour options are;
Clear Anodised
Black
White
White Birch
Please note; 
All Blinds are supplied 
with a Clear Anodised Wand.</t>
        </r>
      </text>
    </comment>
    <comment ref="O43" authorId="0" shapeId="0" xr:uid="{00000000-0006-0000-0700-0000BA010000}">
      <text>
        <r>
          <rPr>
            <sz val="8"/>
            <color indexed="81"/>
            <rFont val="Tahoma"/>
            <family val="2"/>
          </rPr>
          <t xml:space="preserve">
Finish options;
Sewn In Pocket
Bottom Rail</t>
        </r>
      </text>
    </comment>
    <comment ref="P43" authorId="0" shapeId="0" xr:uid="{00000000-0006-0000-0700-0000BB010000}">
      <text>
        <r>
          <rPr>
            <sz val="8"/>
            <color indexed="81"/>
            <rFont val="Tahoma"/>
            <family val="2"/>
          </rPr>
          <t xml:space="preserve">
Bottom Rail Colour options;
Bright Silver
Clear Anodised
Metallic Black
Mocha
White
White Birch</t>
        </r>
      </text>
    </comment>
    <comment ref="Q43" authorId="0" shapeId="0" xr:uid="{00000000-0006-0000-0700-0000BC010000}">
      <text>
        <r>
          <rPr>
            <sz val="8"/>
            <color indexed="81"/>
            <rFont val="Tahoma"/>
            <family val="2"/>
          </rPr>
          <t>When
 Standard or Common 
is selected the 
Pelmet Colour 
must be entered.</t>
        </r>
      </text>
    </comment>
    <comment ref="D44" authorId="0" shapeId="0" xr:uid="{00000000-0006-0000-0700-0000BD010000}">
      <text>
        <r>
          <rPr>
            <sz val="8"/>
            <color indexed="81"/>
            <rFont val="Tahoma"/>
            <family val="2"/>
          </rPr>
          <t>Fabric options are;
Amalfi
Como (Blockout)
Como (Translucent)
Florence
London
Maui
Milan
Pompeii
Rome (Blockout)
Rome (Translucent)
Sunscreen</t>
        </r>
      </text>
    </comment>
    <comment ref="E44" authorId="0" shapeId="0" xr:uid="{00000000-0006-0000-0700-0000BE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4" authorId="0" shapeId="0" xr:uid="{00000000-0006-0000-0700-0000BF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4" authorId="0" shapeId="0" xr:uid="{00000000-0006-0000-0700-0000C0010000}">
      <text>
        <r>
          <rPr>
            <sz val="8"/>
            <color indexed="81"/>
            <rFont val="Tahoma"/>
            <family val="2"/>
          </rPr>
          <t xml:space="preserve">Minimum Height/Drop is 500mm.
Maximum Height/Drop is 3000mm. </t>
        </r>
      </text>
    </comment>
    <comment ref="H44" authorId="0" shapeId="0" xr:uid="{00000000-0006-0000-0700-0000C1010000}">
      <text>
        <r>
          <rPr>
            <sz val="8"/>
            <color indexed="81"/>
            <rFont val="Tahoma"/>
            <family val="2"/>
          </rPr>
          <t xml:space="preserve">
Panel Quantities 
options;
2
3
4
5
6
7
9
Please note; 
Minimum Panel Width is 400mm.
Maximum Panel Width is 1000mm.</t>
        </r>
      </text>
    </comment>
    <comment ref="I44" authorId="0" shapeId="0" xr:uid="{00000000-0006-0000-0700-0000C2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4" authorId="0" shapeId="0" xr:uid="{00000000-0006-0000-0700-0000C3010000}">
      <text>
        <r>
          <rPr>
            <sz val="8"/>
            <color indexed="81"/>
            <rFont val="Tahoma"/>
            <family val="2"/>
          </rPr>
          <t>When selecting a
Corner or Bay 
Window Type, 
the 
CMB Corner WS 
or 
CMB Bay WS 
must be completed.</t>
        </r>
      </text>
    </comment>
    <comment ref="L44" authorId="0" shapeId="0" xr:uid="{00000000-0006-0000-0700-0000C4010000}">
      <text>
        <r>
          <rPr>
            <sz val="8"/>
            <color indexed="81"/>
            <rFont val="Tahoma"/>
            <family val="2"/>
          </rPr>
          <t>ACT 
Actual Measurements
You have made the allowances.
NAM
No Allowances Made 
The factory will make the deductions.</t>
        </r>
      </text>
    </comment>
    <comment ref="N44" authorId="0" shapeId="0" xr:uid="{00000000-0006-0000-0700-0000C5010000}">
      <text>
        <r>
          <rPr>
            <sz val="8"/>
            <color indexed="81"/>
            <rFont val="Tahoma"/>
            <family val="2"/>
          </rPr>
          <t>Track Colour options are;
Clear Anodised
Black
White
White Birch
Please note; 
All Blinds are supplied 
with a Clear Anodised Wand.</t>
        </r>
      </text>
    </comment>
    <comment ref="O44" authorId="0" shapeId="0" xr:uid="{00000000-0006-0000-0700-0000C6010000}">
      <text>
        <r>
          <rPr>
            <sz val="8"/>
            <color indexed="81"/>
            <rFont val="Tahoma"/>
            <family val="2"/>
          </rPr>
          <t xml:space="preserve">
Finish options;
Sewn In Pocket
Bottom Rail</t>
        </r>
      </text>
    </comment>
    <comment ref="P44" authorId="0" shapeId="0" xr:uid="{00000000-0006-0000-0700-0000C7010000}">
      <text>
        <r>
          <rPr>
            <sz val="8"/>
            <color indexed="81"/>
            <rFont val="Tahoma"/>
            <family val="2"/>
          </rPr>
          <t xml:space="preserve">
Bottom Rail Colour options;
Bright Silver
Clear Anodised
Metallic Black
Mocha
White
White Birch</t>
        </r>
      </text>
    </comment>
    <comment ref="Q44" authorId="0" shapeId="0" xr:uid="{00000000-0006-0000-0700-0000C8010000}">
      <text>
        <r>
          <rPr>
            <sz val="8"/>
            <color indexed="81"/>
            <rFont val="Tahoma"/>
            <family val="2"/>
          </rPr>
          <t>When
 Standard or Common 
is selected the 
Pelmet Colour 
must be entered.</t>
        </r>
      </text>
    </comment>
    <comment ref="D45" authorId="0" shapeId="0" xr:uid="{00000000-0006-0000-0700-0000C9010000}">
      <text>
        <r>
          <rPr>
            <sz val="8"/>
            <color indexed="81"/>
            <rFont val="Tahoma"/>
            <family val="2"/>
          </rPr>
          <t>Fabric options are;
Amalfi
Como (Blockout)
Como (Translucent)
Florence
London
Maui
Milan
Pompeii
Rome (Blockout)
Rome (Translucent)
Sunscreen</t>
        </r>
      </text>
    </comment>
    <comment ref="E45" authorId="0" shapeId="0" xr:uid="{00000000-0006-0000-0700-0000CA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5" authorId="0" shapeId="0" xr:uid="{00000000-0006-0000-0700-0000CB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5" authorId="0" shapeId="0" xr:uid="{00000000-0006-0000-0700-0000CC010000}">
      <text>
        <r>
          <rPr>
            <sz val="8"/>
            <color indexed="81"/>
            <rFont val="Tahoma"/>
            <family val="2"/>
          </rPr>
          <t xml:space="preserve">Minimum Height/Drop is 500mm.
Maximum Height/Drop is 3000mm. </t>
        </r>
      </text>
    </comment>
    <comment ref="H45" authorId="0" shapeId="0" xr:uid="{00000000-0006-0000-0700-0000CD010000}">
      <text>
        <r>
          <rPr>
            <sz val="8"/>
            <color indexed="81"/>
            <rFont val="Tahoma"/>
            <family val="2"/>
          </rPr>
          <t xml:space="preserve">
Panel Quantities 
options;
2
3
4
5
6
7
9
Please note; 
Minimum Panel Width is 400mm.
Maximum Panel Width is 1000mm.</t>
        </r>
      </text>
    </comment>
    <comment ref="I45" authorId="0" shapeId="0" xr:uid="{00000000-0006-0000-0700-0000CE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5" authorId="0" shapeId="0" xr:uid="{00000000-0006-0000-0700-0000CF010000}">
      <text>
        <r>
          <rPr>
            <sz val="8"/>
            <color indexed="81"/>
            <rFont val="Tahoma"/>
            <family val="2"/>
          </rPr>
          <t>When selecting a
Corner or Bay 
Window Type, 
the 
CMB Corner WS 
or 
CMB Bay WS 
must be completed.</t>
        </r>
      </text>
    </comment>
    <comment ref="L45" authorId="0" shapeId="0" xr:uid="{00000000-0006-0000-0700-0000D0010000}">
      <text>
        <r>
          <rPr>
            <sz val="8"/>
            <color indexed="81"/>
            <rFont val="Tahoma"/>
            <family val="2"/>
          </rPr>
          <t>ACT 
Actual Measurements
You have made the allowances.
NAM
No Allowances Made 
The factory will make the deductions.</t>
        </r>
      </text>
    </comment>
    <comment ref="N45" authorId="0" shapeId="0" xr:uid="{00000000-0006-0000-0700-0000D1010000}">
      <text>
        <r>
          <rPr>
            <sz val="8"/>
            <color indexed="81"/>
            <rFont val="Tahoma"/>
            <family val="2"/>
          </rPr>
          <t>Track Colour options are;
Clear Anodised
Black
White
White Birch
Please note; 
All Blinds are supplied 
with a Clear Anodised Wand.</t>
        </r>
      </text>
    </comment>
    <comment ref="O45" authorId="0" shapeId="0" xr:uid="{00000000-0006-0000-0700-0000D2010000}">
      <text>
        <r>
          <rPr>
            <sz val="8"/>
            <color indexed="81"/>
            <rFont val="Tahoma"/>
            <family val="2"/>
          </rPr>
          <t xml:space="preserve">
Finish options;
Sewn In Pocket
Bottom Rail</t>
        </r>
      </text>
    </comment>
    <comment ref="P45" authorId="0" shapeId="0" xr:uid="{00000000-0006-0000-0700-0000D3010000}">
      <text>
        <r>
          <rPr>
            <sz val="8"/>
            <color indexed="81"/>
            <rFont val="Tahoma"/>
            <family val="2"/>
          </rPr>
          <t xml:space="preserve">
Bottom Rail Colour options;
Bright Silver
Clear Anodised
Metallic Black
Mocha
White
White Birch</t>
        </r>
      </text>
    </comment>
    <comment ref="Q45" authorId="0" shapeId="0" xr:uid="{00000000-0006-0000-0700-0000D4010000}">
      <text>
        <r>
          <rPr>
            <sz val="8"/>
            <color indexed="81"/>
            <rFont val="Tahoma"/>
            <family val="2"/>
          </rPr>
          <t>When
 Standard or Common 
is selected the 
Pelmet Colour 
must be entered.</t>
        </r>
      </text>
    </comment>
    <comment ref="D46" authorId="0" shapeId="0" xr:uid="{00000000-0006-0000-0700-0000D5010000}">
      <text>
        <r>
          <rPr>
            <sz val="8"/>
            <color indexed="81"/>
            <rFont val="Tahoma"/>
            <family val="2"/>
          </rPr>
          <t>Fabric options are;
Amalfi
Como (Blockout)
Como (Translucent)
Florence
London
Maui
Milan
Pompeii
Rome (Blockout)
Rome (Translucent)
Sunscreen</t>
        </r>
      </text>
    </comment>
    <comment ref="E46" authorId="0" shapeId="0" xr:uid="{00000000-0006-0000-0700-0000D6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6" authorId="0" shapeId="0" xr:uid="{00000000-0006-0000-0700-0000D7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6" authorId="0" shapeId="0" xr:uid="{00000000-0006-0000-0700-0000D8010000}">
      <text>
        <r>
          <rPr>
            <sz val="8"/>
            <color indexed="81"/>
            <rFont val="Tahoma"/>
            <family val="2"/>
          </rPr>
          <t xml:space="preserve">Minimum Height/Drop is 500mm.
Maximum Height/Drop is 3000mm. </t>
        </r>
      </text>
    </comment>
    <comment ref="H46" authorId="0" shapeId="0" xr:uid="{00000000-0006-0000-0700-0000D9010000}">
      <text>
        <r>
          <rPr>
            <sz val="8"/>
            <color indexed="81"/>
            <rFont val="Tahoma"/>
            <family val="2"/>
          </rPr>
          <t xml:space="preserve">
Panel Quantities 
options;
2
3
4
5
6
7
9
Please note; 
Minimum Panel Width is 400mm.
Maximum Panel Width is 1000mm.</t>
        </r>
      </text>
    </comment>
    <comment ref="I46" authorId="0" shapeId="0" xr:uid="{00000000-0006-0000-0700-0000DA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6" authorId="0" shapeId="0" xr:uid="{00000000-0006-0000-0700-0000DB010000}">
      <text>
        <r>
          <rPr>
            <sz val="8"/>
            <color indexed="81"/>
            <rFont val="Tahoma"/>
            <family val="2"/>
          </rPr>
          <t>When selecting a
Corner or Bay 
Window Type, 
the 
CMB Corner WS 
or 
CMB Bay WS 
must be completed.</t>
        </r>
      </text>
    </comment>
    <comment ref="L46" authorId="0" shapeId="0" xr:uid="{00000000-0006-0000-0700-0000DC010000}">
      <text>
        <r>
          <rPr>
            <sz val="8"/>
            <color indexed="81"/>
            <rFont val="Tahoma"/>
            <family val="2"/>
          </rPr>
          <t>ACT 
Actual Measurements
You have made the allowances.
NAM
No Allowances Made 
The factory will make the deductions.</t>
        </r>
      </text>
    </comment>
    <comment ref="N46" authorId="0" shapeId="0" xr:uid="{00000000-0006-0000-0700-0000DD010000}">
      <text>
        <r>
          <rPr>
            <sz val="8"/>
            <color indexed="81"/>
            <rFont val="Tahoma"/>
            <family val="2"/>
          </rPr>
          <t>Track Colour options are;
Clear Anodised
Black
White
White Birch
Please note; 
All Blinds are supplied 
with a Clear Anodised Wand.</t>
        </r>
      </text>
    </comment>
    <comment ref="O46" authorId="0" shapeId="0" xr:uid="{00000000-0006-0000-0700-0000DE010000}">
      <text>
        <r>
          <rPr>
            <sz val="8"/>
            <color indexed="81"/>
            <rFont val="Tahoma"/>
            <family val="2"/>
          </rPr>
          <t xml:space="preserve">
Finish options;
Sewn In Pocket
Bottom Rail</t>
        </r>
      </text>
    </comment>
    <comment ref="P46" authorId="0" shapeId="0" xr:uid="{00000000-0006-0000-0700-0000DF010000}">
      <text>
        <r>
          <rPr>
            <sz val="8"/>
            <color indexed="81"/>
            <rFont val="Tahoma"/>
            <family val="2"/>
          </rPr>
          <t xml:space="preserve">
Bottom Rail Colour options;
Bright Silver
Clear Anodised
Metallic Black
Mocha
White
White Birch</t>
        </r>
      </text>
    </comment>
    <comment ref="Q46" authorId="0" shapeId="0" xr:uid="{00000000-0006-0000-0700-0000E0010000}">
      <text>
        <r>
          <rPr>
            <sz val="8"/>
            <color indexed="81"/>
            <rFont val="Tahoma"/>
            <family val="2"/>
          </rPr>
          <t>When
 Standard or Common 
is selected the 
Pelmet Colour 
must be entered.</t>
        </r>
      </text>
    </comment>
    <comment ref="D47" authorId="0" shapeId="0" xr:uid="{00000000-0006-0000-0700-0000E1010000}">
      <text>
        <r>
          <rPr>
            <sz val="8"/>
            <color indexed="81"/>
            <rFont val="Tahoma"/>
            <family val="2"/>
          </rPr>
          <t>Fabric options are;
Amalfi
Como (Blockout)
Como (Translucent)
Florence
London
Maui
Milan
Pompeii
Rome (Blockout)
Rome (Translucent)
Sunscreen</t>
        </r>
      </text>
    </comment>
    <comment ref="E47" authorId="0" shapeId="0" xr:uid="{00000000-0006-0000-0700-0000E2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7" authorId="0" shapeId="0" xr:uid="{00000000-0006-0000-0700-0000E3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7" authorId="0" shapeId="0" xr:uid="{00000000-0006-0000-0700-0000E4010000}">
      <text>
        <r>
          <rPr>
            <sz val="8"/>
            <color indexed="81"/>
            <rFont val="Tahoma"/>
            <family val="2"/>
          </rPr>
          <t xml:space="preserve">Minimum Height/Drop is 500mm.
Maximum Height/Drop is 3000mm. </t>
        </r>
      </text>
    </comment>
    <comment ref="H47" authorId="0" shapeId="0" xr:uid="{00000000-0006-0000-0700-0000E5010000}">
      <text>
        <r>
          <rPr>
            <sz val="8"/>
            <color indexed="81"/>
            <rFont val="Tahoma"/>
            <family val="2"/>
          </rPr>
          <t xml:space="preserve">
Panel Quantities 
options;
2
3
4
5
6
7
9
Please note; 
Minimum Panel Width is 400mm.
Maximum Panel Width is 1000mm.</t>
        </r>
      </text>
    </comment>
    <comment ref="I47" authorId="0" shapeId="0" xr:uid="{00000000-0006-0000-0700-0000E6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7" authorId="0" shapeId="0" xr:uid="{00000000-0006-0000-0700-0000E7010000}">
      <text>
        <r>
          <rPr>
            <sz val="8"/>
            <color indexed="81"/>
            <rFont val="Tahoma"/>
            <family val="2"/>
          </rPr>
          <t>When selecting a
Corner or Bay 
Window Type, 
the 
CMB Corner WS 
or 
CMB Bay WS 
must be completed.</t>
        </r>
      </text>
    </comment>
    <comment ref="L47" authorId="0" shapeId="0" xr:uid="{00000000-0006-0000-0700-0000E8010000}">
      <text>
        <r>
          <rPr>
            <sz val="8"/>
            <color indexed="81"/>
            <rFont val="Tahoma"/>
            <family val="2"/>
          </rPr>
          <t>ACT 
Actual Measurements
You have made the allowances.
NAM
No Allowances Made 
The factory will make the deductions.</t>
        </r>
      </text>
    </comment>
    <comment ref="N47" authorId="0" shapeId="0" xr:uid="{00000000-0006-0000-0700-0000E9010000}">
      <text>
        <r>
          <rPr>
            <sz val="8"/>
            <color indexed="81"/>
            <rFont val="Tahoma"/>
            <family val="2"/>
          </rPr>
          <t>Track Colour options are;
Clear Anodised
Black
White
White Birch
Please note; 
All Blinds are supplied 
with a Clear Anodised Wand.</t>
        </r>
      </text>
    </comment>
    <comment ref="O47" authorId="0" shapeId="0" xr:uid="{00000000-0006-0000-0700-0000EA010000}">
      <text>
        <r>
          <rPr>
            <sz val="8"/>
            <color indexed="81"/>
            <rFont val="Tahoma"/>
            <family val="2"/>
          </rPr>
          <t xml:space="preserve">
Finish options;
Sewn In Pocket
Bottom Rail</t>
        </r>
      </text>
    </comment>
    <comment ref="P47" authorId="0" shapeId="0" xr:uid="{00000000-0006-0000-0700-0000EB010000}">
      <text>
        <r>
          <rPr>
            <sz val="8"/>
            <color indexed="81"/>
            <rFont val="Tahoma"/>
            <family val="2"/>
          </rPr>
          <t xml:space="preserve">
Bottom Rail Colour options;
Bright Silver
Clear Anodised
Metallic Black
Mocha
White
White Birch</t>
        </r>
      </text>
    </comment>
    <comment ref="Q47" authorId="0" shapeId="0" xr:uid="{00000000-0006-0000-0700-0000EC010000}">
      <text>
        <r>
          <rPr>
            <sz val="8"/>
            <color indexed="81"/>
            <rFont val="Tahoma"/>
            <family val="2"/>
          </rPr>
          <t>When
 Standard or Common 
is selected the 
Pelmet Colour 
must be entered.</t>
        </r>
      </text>
    </comment>
    <comment ref="D48" authorId="0" shapeId="0" xr:uid="{00000000-0006-0000-0700-0000ED010000}">
      <text>
        <r>
          <rPr>
            <sz val="8"/>
            <color indexed="81"/>
            <rFont val="Tahoma"/>
            <family val="2"/>
          </rPr>
          <t>Fabric options are;
Amalfi
Como (Blockout)
Como (Translucent)
Florence
London
Maui
Milan
Pompeii
Rome (Blockout)
Rome (Translucent)
Sunscreen</t>
        </r>
      </text>
    </comment>
    <comment ref="E48" authorId="0" shapeId="0" xr:uid="{00000000-0006-0000-0700-0000EE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8" authorId="0" shapeId="0" xr:uid="{00000000-0006-0000-0700-0000EF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8" authorId="0" shapeId="0" xr:uid="{00000000-0006-0000-0700-0000F0010000}">
      <text>
        <r>
          <rPr>
            <sz val="8"/>
            <color indexed="81"/>
            <rFont val="Tahoma"/>
            <family val="2"/>
          </rPr>
          <t xml:space="preserve">Minimum Height/Drop is 500mm.
Maximum Height/Drop is 3000mm. </t>
        </r>
      </text>
    </comment>
    <comment ref="H48" authorId="0" shapeId="0" xr:uid="{00000000-0006-0000-0700-0000F1010000}">
      <text>
        <r>
          <rPr>
            <sz val="8"/>
            <color indexed="81"/>
            <rFont val="Tahoma"/>
            <family val="2"/>
          </rPr>
          <t xml:space="preserve">
Panel Quantities 
options;
2
3
4
5
6
7
9
Please note; 
Minimum Panel Width is 400mm.
Maximum Panel Width is 1000mm.</t>
        </r>
      </text>
    </comment>
    <comment ref="I48" authorId="0" shapeId="0" xr:uid="{00000000-0006-0000-0700-0000F2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8" authorId="0" shapeId="0" xr:uid="{00000000-0006-0000-0700-0000F3010000}">
      <text>
        <r>
          <rPr>
            <sz val="8"/>
            <color indexed="81"/>
            <rFont val="Tahoma"/>
            <family val="2"/>
          </rPr>
          <t>When selecting a
Corner or Bay 
Window Type, 
the 
CMB Corner WS 
or 
CMB Bay WS 
must be completed.</t>
        </r>
      </text>
    </comment>
    <comment ref="L48" authorId="0" shapeId="0" xr:uid="{00000000-0006-0000-0700-0000F4010000}">
      <text>
        <r>
          <rPr>
            <sz val="8"/>
            <color indexed="81"/>
            <rFont val="Tahoma"/>
            <family val="2"/>
          </rPr>
          <t>ACT 
Actual Measurements
You have made the allowances.
NAM
No Allowances Made 
The factory will make the deductions.</t>
        </r>
      </text>
    </comment>
    <comment ref="N48" authorId="0" shapeId="0" xr:uid="{00000000-0006-0000-0700-0000F5010000}">
      <text>
        <r>
          <rPr>
            <sz val="8"/>
            <color indexed="81"/>
            <rFont val="Tahoma"/>
            <family val="2"/>
          </rPr>
          <t>Track Colour options are;
Clear Anodised
Black
White
White Birch
Please note; 
All Blinds are supplied 
with a Clear Anodised Wand.</t>
        </r>
      </text>
    </comment>
    <comment ref="O48" authorId="0" shapeId="0" xr:uid="{00000000-0006-0000-0700-0000F6010000}">
      <text>
        <r>
          <rPr>
            <sz val="8"/>
            <color indexed="81"/>
            <rFont val="Tahoma"/>
            <family val="2"/>
          </rPr>
          <t xml:space="preserve">
Finish options;
Sewn In Pocket
Bottom Rail</t>
        </r>
      </text>
    </comment>
    <comment ref="P48" authorId="0" shapeId="0" xr:uid="{00000000-0006-0000-0700-0000F7010000}">
      <text>
        <r>
          <rPr>
            <sz val="8"/>
            <color indexed="81"/>
            <rFont val="Tahoma"/>
            <family val="2"/>
          </rPr>
          <t xml:space="preserve">
Bottom Rail Colour options;
Bright Silver
Clear Anodised
Metallic Black
Mocha
White
White Birch</t>
        </r>
      </text>
    </comment>
    <comment ref="Q48" authorId="0" shapeId="0" xr:uid="{00000000-0006-0000-0700-0000F8010000}">
      <text>
        <r>
          <rPr>
            <sz val="8"/>
            <color indexed="81"/>
            <rFont val="Tahoma"/>
            <family val="2"/>
          </rPr>
          <t>When
 Standard or Common 
is selected the 
Pelmet Colour 
must be entered.</t>
        </r>
      </text>
    </comment>
    <comment ref="D49" authorId="0" shapeId="0" xr:uid="{00000000-0006-0000-0700-0000F9010000}">
      <text>
        <r>
          <rPr>
            <sz val="8"/>
            <color indexed="81"/>
            <rFont val="Tahoma"/>
            <family val="2"/>
          </rPr>
          <t>Fabric options are;
Amalfi
Como (Blockout)
Como (Translucent)
Florence
London
Maui
Milan
Pompeii
Rome (Blockout)
Rome (Translucent)
Sunscreen</t>
        </r>
      </text>
    </comment>
    <comment ref="E49" authorId="0" shapeId="0" xr:uid="{00000000-0006-0000-0700-0000FA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9" authorId="0" shapeId="0" xr:uid="{00000000-0006-0000-0700-0000FB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9" authorId="0" shapeId="0" xr:uid="{00000000-0006-0000-0700-0000FC010000}">
      <text>
        <r>
          <rPr>
            <sz val="8"/>
            <color indexed="81"/>
            <rFont val="Tahoma"/>
            <family val="2"/>
          </rPr>
          <t xml:space="preserve">Minimum Height/Drop is 500mm.
Maximum Height/Drop is 3000mm. </t>
        </r>
      </text>
    </comment>
    <comment ref="H49" authorId="0" shapeId="0" xr:uid="{00000000-0006-0000-0700-0000FD010000}">
      <text>
        <r>
          <rPr>
            <sz val="8"/>
            <color indexed="81"/>
            <rFont val="Tahoma"/>
            <family val="2"/>
          </rPr>
          <t xml:space="preserve">
Panel Quantities 
options;
2
3
4
5
6
7
9
Please note; 
Minimum Panel Width is 400mm.
Maximum Panel Width is 1000mm.</t>
        </r>
      </text>
    </comment>
    <comment ref="I49" authorId="0" shapeId="0" xr:uid="{00000000-0006-0000-0700-0000FE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9" authorId="0" shapeId="0" xr:uid="{00000000-0006-0000-0700-0000FF010000}">
      <text>
        <r>
          <rPr>
            <sz val="8"/>
            <color indexed="81"/>
            <rFont val="Tahoma"/>
            <family val="2"/>
          </rPr>
          <t>When selecting a
Corner or Bay 
Window Type, 
the 
CMB Corner WS 
or 
CMB Bay WS 
must be completed.</t>
        </r>
      </text>
    </comment>
    <comment ref="L49" authorId="0" shapeId="0" xr:uid="{00000000-0006-0000-0700-000000020000}">
      <text>
        <r>
          <rPr>
            <sz val="8"/>
            <color indexed="81"/>
            <rFont val="Tahoma"/>
            <family val="2"/>
          </rPr>
          <t>ACT 
Actual Measurements
You have made the allowances.
NAM
No Allowances Made 
The factory will make the deductions.</t>
        </r>
      </text>
    </comment>
    <comment ref="N49" authorId="0" shapeId="0" xr:uid="{00000000-0006-0000-0700-000001020000}">
      <text>
        <r>
          <rPr>
            <sz val="8"/>
            <color indexed="81"/>
            <rFont val="Tahoma"/>
            <family val="2"/>
          </rPr>
          <t>Track Colour options are;
Clear Anodised
Black
White
White Birch
Please note; 
All Blinds are supplied 
with a Clear Anodised Wand.</t>
        </r>
      </text>
    </comment>
    <comment ref="O49" authorId="0" shapeId="0" xr:uid="{00000000-0006-0000-0700-000002020000}">
      <text>
        <r>
          <rPr>
            <sz val="8"/>
            <color indexed="81"/>
            <rFont val="Tahoma"/>
            <family val="2"/>
          </rPr>
          <t xml:space="preserve">
Finish options;
Sewn In Pocket
Bottom Rail</t>
        </r>
      </text>
    </comment>
    <comment ref="P49" authorId="0" shapeId="0" xr:uid="{00000000-0006-0000-0700-000003020000}">
      <text>
        <r>
          <rPr>
            <sz val="8"/>
            <color indexed="81"/>
            <rFont val="Tahoma"/>
            <family val="2"/>
          </rPr>
          <t xml:space="preserve">
Bottom Rail Colour options;
Bright Silver
Clear Anodised
Metallic Black
Mocha
White
White Birch</t>
        </r>
      </text>
    </comment>
    <comment ref="Q49" authorId="0" shapeId="0" xr:uid="{00000000-0006-0000-0700-000004020000}">
      <text>
        <r>
          <rPr>
            <sz val="8"/>
            <color indexed="81"/>
            <rFont val="Tahoma"/>
            <family val="2"/>
          </rPr>
          <t>When
 Standard or Common 
is selected the 
Pelmet Colour 
must be entered.</t>
        </r>
      </text>
    </comment>
    <comment ref="D50" authorId="0" shapeId="0" xr:uid="{00000000-0006-0000-0700-000005020000}">
      <text>
        <r>
          <rPr>
            <sz val="8"/>
            <color indexed="81"/>
            <rFont val="Tahoma"/>
            <family val="2"/>
          </rPr>
          <t>Fabric options are;
Amalfi
Como (Blockout)
Como (Translucent)
Florence
London
Maui
Milan
Pompeii
Rome (Blockout)
Rome (Translucent)
Sunscreen</t>
        </r>
      </text>
    </comment>
    <comment ref="E50" authorId="0" shapeId="0" xr:uid="{00000000-0006-0000-0700-00000602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50" authorId="0" shapeId="0" xr:uid="{00000000-0006-0000-0700-00000702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0" authorId="0" shapeId="0" xr:uid="{00000000-0006-0000-0700-000008020000}">
      <text>
        <r>
          <rPr>
            <sz val="8"/>
            <color indexed="81"/>
            <rFont val="Tahoma"/>
            <family val="2"/>
          </rPr>
          <t xml:space="preserve">Minimum Height/Drop is 500mm.
Maximum Height/Drop is 3000mm. </t>
        </r>
      </text>
    </comment>
    <comment ref="H50" authorId="0" shapeId="0" xr:uid="{00000000-0006-0000-0700-000009020000}">
      <text>
        <r>
          <rPr>
            <sz val="8"/>
            <color indexed="81"/>
            <rFont val="Tahoma"/>
            <family val="2"/>
          </rPr>
          <t xml:space="preserve">
Panel Quantities 
options;
2
3
4
5
6
7
9
Please note; 
Minimum Panel Width is 400mm.
Maximum Panel Width is 1000mm.</t>
        </r>
      </text>
    </comment>
    <comment ref="I50" authorId="0" shapeId="0" xr:uid="{00000000-0006-0000-0700-00000A02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50" authorId="0" shapeId="0" xr:uid="{00000000-0006-0000-0700-00000B020000}">
      <text>
        <r>
          <rPr>
            <sz val="8"/>
            <color indexed="81"/>
            <rFont val="Tahoma"/>
            <family val="2"/>
          </rPr>
          <t>When selecting a
Corner or Bay 
Window Type, 
the 
CMB Corner WS 
or 
CMB Bay WS 
must be completed.</t>
        </r>
      </text>
    </comment>
    <comment ref="L50" authorId="0" shapeId="0" xr:uid="{00000000-0006-0000-0700-00000C020000}">
      <text>
        <r>
          <rPr>
            <sz val="8"/>
            <color indexed="81"/>
            <rFont val="Tahoma"/>
            <family val="2"/>
          </rPr>
          <t>ACT 
Actual Measurements
You have made the allowances.
NAM
No Allowances Made 
The factory will make the deductions.</t>
        </r>
      </text>
    </comment>
    <comment ref="N50" authorId="0" shapeId="0" xr:uid="{00000000-0006-0000-0700-00000D020000}">
      <text>
        <r>
          <rPr>
            <sz val="8"/>
            <color indexed="81"/>
            <rFont val="Tahoma"/>
            <family val="2"/>
          </rPr>
          <t>Track Colour options are;
Clear Anodised
Black
White
White Birch
Please note; 
All Blinds are supplied 
with a Clear Anodised Wand.</t>
        </r>
      </text>
    </comment>
    <comment ref="O50" authorId="0" shapeId="0" xr:uid="{00000000-0006-0000-0700-00000E020000}">
      <text>
        <r>
          <rPr>
            <sz val="8"/>
            <color indexed="81"/>
            <rFont val="Tahoma"/>
            <family val="2"/>
          </rPr>
          <t xml:space="preserve">
Finish options;
Sewn In Pocket
Bottom Rail</t>
        </r>
      </text>
    </comment>
    <comment ref="P50" authorId="0" shapeId="0" xr:uid="{00000000-0006-0000-0700-00000F020000}">
      <text>
        <r>
          <rPr>
            <sz val="8"/>
            <color indexed="81"/>
            <rFont val="Tahoma"/>
            <family val="2"/>
          </rPr>
          <t xml:space="preserve">
Bottom Rail Colour options;
Bright Silver
Clear Anodised
Metallic Black
Mocha
White
White Birch</t>
        </r>
      </text>
    </comment>
    <comment ref="Q50" authorId="0" shapeId="0" xr:uid="{00000000-0006-0000-0700-000010020000}">
      <text>
        <r>
          <rPr>
            <sz val="8"/>
            <color indexed="81"/>
            <rFont val="Tahoma"/>
            <family val="2"/>
          </rPr>
          <t>When
 Standard or Common 
is selected the 
Pelmet Colour 
must be entered.</t>
        </r>
      </text>
    </comment>
    <comment ref="D51" authorId="0" shapeId="0" xr:uid="{00000000-0006-0000-0700-000011020000}">
      <text>
        <r>
          <rPr>
            <sz val="8"/>
            <color indexed="81"/>
            <rFont val="Tahoma"/>
            <family val="2"/>
          </rPr>
          <t>Fabric options are;
Amalfi
Como (Blockout)
Como (Translucent)
Florence
London
Maui
Milan
Pompeii
Rome (Blockout)
Rome (Translucent)
Sunscreen</t>
        </r>
      </text>
    </comment>
    <comment ref="E51" authorId="0" shapeId="0" xr:uid="{00000000-0006-0000-0700-00001202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51" authorId="0" shapeId="0" xr:uid="{00000000-0006-0000-0700-00001302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1" authorId="0" shapeId="0" xr:uid="{00000000-0006-0000-0700-000014020000}">
      <text>
        <r>
          <rPr>
            <sz val="8"/>
            <color indexed="81"/>
            <rFont val="Tahoma"/>
            <family val="2"/>
          </rPr>
          <t xml:space="preserve">Minimum Height/Drop is 500mm.
Maximum Height/Drop is 3000mm. </t>
        </r>
      </text>
    </comment>
    <comment ref="H51" authorId="0" shapeId="0" xr:uid="{00000000-0006-0000-0700-000015020000}">
      <text>
        <r>
          <rPr>
            <sz val="8"/>
            <color indexed="81"/>
            <rFont val="Tahoma"/>
            <family val="2"/>
          </rPr>
          <t xml:space="preserve">
Panel Quantities 
options;
2
3
4
5
6
7
9
Please note; 
Minimum Panel Width is 400mm.
Maximum Panel Width is 1000mm.</t>
        </r>
      </text>
    </comment>
    <comment ref="I51" authorId="0" shapeId="0" xr:uid="{00000000-0006-0000-0700-00001602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51" authorId="0" shapeId="0" xr:uid="{00000000-0006-0000-0700-000017020000}">
      <text>
        <r>
          <rPr>
            <sz val="8"/>
            <color indexed="81"/>
            <rFont val="Tahoma"/>
            <family val="2"/>
          </rPr>
          <t>When selecting a
Corner or Bay 
Window Type, 
the 
CMB Corner WS 
or 
CMB Bay WS 
must be completed.</t>
        </r>
      </text>
    </comment>
    <comment ref="L51" authorId="0" shapeId="0" xr:uid="{00000000-0006-0000-0700-000018020000}">
      <text>
        <r>
          <rPr>
            <sz val="8"/>
            <color indexed="81"/>
            <rFont val="Tahoma"/>
            <family val="2"/>
          </rPr>
          <t>ACT 
Actual Measurements
You have made the allowances.
NAM
No Allowances Made 
The factory will make the deductions.</t>
        </r>
      </text>
    </comment>
    <comment ref="N51" authorId="0" shapeId="0" xr:uid="{00000000-0006-0000-0700-000019020000}">
      <text>
        <r>
          <rPr>
            <sz val="8"/>
            <color indexed="81"/>
            <rFont val="Tahoma"/>
            <family val="2"/>
          </rPr>
          <t>Track Colour options are;
Clear Anodised
Black
White
White Birch
Please note; 
All Blinds are supplied 
with a Clear Anodised Wand.</t>
        </r>
      </text>
    </comment>
    <comment ref="O51" authorId="0" shapeId="0" xr:uid="{00000000-0006-0000-0700-00001A020000}">
      <text>
        <r>
          <rPr>
            <sz val="8"/>
            <color indexed="81"/>
            <rFont val="Tahoma"/>
            <family val="2"/>
          </rPr>
          <t xml:space="preserve">
Finish options;
Sewn In Pocket
Bottom Rail</t>
        </r>
      </text>
    </comment>
    <comment ref="P51" authorId="0" shapeId="0" xr:uid="{00000000-0006-0000-0700-00001B020000}">
      <text>
        <r>
          <rPr>
            <sz val="8"/>
            <color indexed="81"/>
            <rFont val="Tahoma"/>
            <family val="2"/>
          </rPr>
          <t xml:space="preserve">
Bottom Rail Colour options;
Bright Silver
Clear Anodised
Metallic Black
Mocha
White
White Birch</t>
        </r>
      </text>
    </comment>
    <comment ref="Q51" authorId="0" shapeId="0" xr:uid="{00000000-0006-0000-0700-00001C020000}">
      <text>
        <r>
          <rPr>
            <sz val="8"/>
            <color indexed="81"/>
            <rFont val="Tahoma"/>
            <family val="2"/>
          </rPr>
          <t>When
 Standard or Common 
is selected the 
Pelmet Colour 
must be entered.</t>
        </r>
      </text>
    </comment>
    <comment ref="D52" authorId="0" shapeId="0" xr:uid="{00000000-0006-0000-0700-00001D020000}">
      <text>
        <r>
          <rPr>
            <sz val="8"/>
            <color indexed="81"/>
            <rFont val="Tahoma"/>
            <family val="2"/>
          </rPr>
          <t>Fabric options are;
Amalfi
Como (Blockout)
Como (Translucent)
Florence
London
Maui
Milan
Pompeii
Rome (Blockout)
Rome (Translucent)
Sunscreen</t>
        </r>
      </text>
    </comment>
    <comment ref="E52" authorId="0" shapeId="0" xr:uid="{00000000-0006-0000-0700-00001E02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52" authorId="0" shapeId="0" xr:uid="{00000000-0006-0000-0700-00001F02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2" authorId="0" shapeId="0" xr:uid="{00000000-0006-0000-0700-000020020000}">
      <text>
        <r>
          <rPr>
            <sz val="8"/>
            <color indexed="81"/>
            <rFont val="Tahoma"/>
            <family val="2"/>
          </rPr>
          <t xml:space="preserve">Minimum Height/Drop is 500mm.
Maximum Height/Drop is 3000mm. </t>
        </r>
      </text>
    </comment>
    <comment ref="H52" authorId="0" shapeId="0" xr:uid="{00000000-0006-0000-0700-000021020000}">
      <text>
        <r>
          <rPr>
            <sz val="8"/>
            <color indexed="81"/>
            <rFont val="Tahoma"/>
            <family val="2"/>
          </rPr>
          <t xml:space="preserve">
Panel Quantities 
options;
2
3
4
5
6
7
9
Please note; 
Minimum Panel Width is 400mm.
Maximum Panel Width is 1000mm.</t>
        </r>
      </text>
    </comment>
    <comment ref="I52" authorId="0" shapeId="0" xr:uid="{00000000-0006-0000-0700-00002202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52" authorId="0" shapeId="0" xr:uid="{00000000-0006-0000-0700-000023020000}">
      <text>
        <r>
          <rPr>
            <sz val="8"/>
            <color indexed="81"/>
            <rFont val="Tahoma"/>
            <family val="2"/>
          </rPr>
          <t>When selecting a
Corner or Bay 
Window Type, 
the 
CMB Corner WS 
or 
CMB Bay WS 
must be completed.</t>
        </r>
      </text>
    </comment>
    <comment ref="L52" authorId="0" shapeId="0" xr:uid="{00000000-0006-0000-0700-000024020000}">
      <text>
        <r>
          <rPr>
            <sz val="8"/>
            <color indexed="81"/>
            <rFont val="Tahoma"/>
            <family val="2"/>
          </rPr>
          <t>ACT 
Actual Measurements
You have made the allowances.
NAM
No Allowances Made 
The factory will make the deductions.</t>
        </r>
      </text>
    </comment>
    <comment ref="N52" authorId="0" shapeId="0" xr:uid="{00000000-0006-0000-0700-000025020000}">
      <text>
        <r>
          <rPr>
            <sz val="8"/>
            <color indexed="81"/>
            <rFont val="Tahoma"/>
            <family val="2"/>
          </rPr>
          <t>Track Colour options are;
Clear Anodised
Black
White
White Birch
Please note; 
All Blinds are supplied 
with a Clear Anodised Wand.</t>
        </r>
      </text>
    </comment>
    <comment ref="O52" authorId="0" shapeId="0" xr:uid="{00000000-0006-0000-0700-000026020000}">
      <text>
        <r>
          <rPr>
            <sz val="8"/>
            <color indexed="81"/>
            <rFont val="Tahoma"/>
            <family val="2"/>
          </rPr>
          <t xml:space="preserve">
Finish options;
Sewn In Pocket
Bottom Rail</t>
        </r>
      </text>
    </comment>
    <comment ref="P52" authorId="0" shapeId="0" xr:uid="{00000000-0006-0000-0700-000027020000}">
      <text>
        <r>
          <rPr>
            <sz val="8"/>
            <color indexed="81"/>
            <rFont val="Tahoma"/>
            <family val="2"/>
          </rPr>
          <t xml:space="preserve">
Bottom Rail Colour options;
Bright Silver
Clear Anodised
Metallic Black
Mocha
White
White Birch</t>
        </r>
      </text>
    </comment>
    <comment ref="Q52" authorId="0" shapeId="0" xr:uid="{00000000-0006-0000-0700-000028020000}">
      <text>
        <r>
          <rPr>
            <sz val="8"/>
            <color indexed="81"/>
            <rFont val="Tahoma"/>
            <family val="2"/>
          </rPr>
          <t>When
 Standard or Common 
is selected the 
Pelmet Colour 
must be entered.</t>
        </r>
      </text>
    </comment>
    <comment ref="D53" authorId="0" shapeId="0" xr:uid="{00000000-0006-0000-0700-000029020000}">
      <text>
        <r>
          <rPr>
            <sz val="8"/>
            <color indexed="81"/>
            <rFont val="Tahoma"/>
            <family val="2"/>
          </rPr>
          <t>Fabric options are;
Amalfi
Como (Blockout)
Como (Translucent)
Florence
London
Maui
Milan
Pompeii
Rome (Blockout)
Rome (Translucent)
Sunscreen</t>
        </r>
      </text>
    </comment>
    <comment ref="E53" authorId="0" shapeId="0" xr:uid="{00000000-0006-0000-0700-00002A02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53" authorId="0" shapeId="0" xr:uid="{00000000-0006-0000-0700-00002B02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3" authorId="0" shapeId="0" xr:uid="{00000000-0006-0000-0700-00002C020000}">
      <text>
        <r>
          <rPr>
            <sz val="8"/>
            <color indexed="81"/>
            <rFont val="Tahoma"/>
            <family val="2"/>
          </rPr>
          <t xml:space="preserve">Minimum Height/Drop is 500mm.
Maximum Height/Drop is 3000mm. </t>
        </r>
      </text>
    </comment>
    <comment ref="H53" authorId="0" shapeId="0" xr:uid="{00000000-0006-0000-0700-00002D020000}">
      <text>
        <r>
          <rPr>
            <sz val="8"/>
            <color indexed="81"/>
            <rFont val="Tahoma"/>
            <family val="2"/>
          </rPr>
          <t xml:space="preserve">
Panel Quantities 
options;
2
3
4
5
6
7
9
Please note; 
Minimum Panel Width is 400mm.
Maximum Panel Width is 1000mm.</t>
        </r>
      </text>
    </comment>
    <comment ref="I53" authorId="0" shapeId="0" xr:uid="{00000000-0006-0000-0700-00002E02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53" authorId="0" shapeId="0" xr:uid="{00000000-0006-0000-0700-00002F020000}">
      <text>
        <r>
          <rPr>
            <sz val="8"/>
            <color indexed="81"/>
            <rFont val="Tahoma"/>
            <family val="2"/>
          </rPr>
          <t>When selecting a
Corner or Bay 
Window Type, 
the 
CMB Corner WS 
or 
CMB Bay WS 
must be completed.</t>
        </r>
      </text>
    </comment>
    <comment ref="L53" authorId="0" shapeId="0" xr:uid="{00000000-0006-0000-0700-000030020000}">
      <text>
        <r>
          <rPr>
            <sz val="8"/>
            <color indexed="81"/>
            <rFont val="Tahoma"/>
            <family val="2"/>
          </rPr>
          <t>ACT 
Actual Measurements
You have made the allowances.
NAM
No Allowances Made 
The factory will make the deductions.</t>
        </r>
      </text>
    </comment>
    <comment ref="N53" authorId="0" shapeId="0" xr:uid="{00000000-0006-0000-0700-000031020000}">
      <text>
        <r>
          <rPr>
            <sz val="8"/>
            <color indexed="81"/>
            <rFont val="Tahoma"/>
            <family val="2"/>
          </rPr>
          <t>Track Colour options are;
Clear Anodised
Black
White
White Birch
Please note; 
All Blinds are supplied 
with a Clear Anodised Wand.</t>
        </r>
      </text>
    </comment>
    <comment ref="O53" authorId="0" shapeId="0" xr:uid="{00000000-0006-0000-0700-000032020000}">
      <text>
        <r>
          <rPr>
            <sz val="8"/>
            <color indexed="81"/>
            <rFont val="Tahoma"/>
            <family val="2"/>
          </rPr>
          <t xml:space="preserve">
Finish options;
Sewn In Pocket
Bottom Rail</t>
        </r>
      </text>
    </comment>
    <comment ref="P53" authorId="0" shapeId="0" xr:uid="{00000000-0006-0000-0700-000033020000}">
      <text>
        <r>
          <rPr>
            <sz val="8"/>
            <color indexed="81"/>
            <rFont val="Tahoma"/>
            <family val="2"/>
          </rPr>
          <t xml:space="preserve">
Bottom Rail Colour options;
Bright Silver
Clear Anodised
Metallic Black
Mocha
White
White Birch</t>
        </r>
      </text>
    </comment>
    <comment ref="Q53" authorId="0" shapeId="0" xr:uid="{00000000-0006-0000-0700-000034020000}">
      <text>
        <r>
          <rPr>
            <sz val="8"/>
            <color indexed="81"/>
            <rFont val="Tahoma"/>
            <family val="2"/>
          </rPr>
          <t>When
 Standard or Common 
is selected the 
Pelmet Colour 
must be entered.</t>
        </r>
      </text>
    </comment>
    <comment ref="D54" authorId="0" shapeId="0" xr:uid="{00000000-0006-0000-0700-000035020000}">
      <text>
        <r>
          <rPr>
            <sz val="8"/>
            <color indexed="81"/>
            <rFont val="Tahoma"/>
            <family val="2"/>
          </rPr>
          <t>Fabric options are;
Amalfi
Como (Blockout)
Como (Translucent)
Florence
London
Maui
Milan
Pompeii
Rome (Blockout)
Rome (Translucent)
Sunscreen</t>
        </r>
      </text>
    </comment>
    <comment ref="E54" authorId="0" shapeId="0" xr:uid="{00000000-0006-0000-0700-00003602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54" authorId="0" shapeId="0" xr:uid="{00000000-0006-0000-0700-00003702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4" authorId="0" shapeId="0" xr:uid="{00000000-0006-0000-0700-000038020000}">
      <text>
        <r>
          <rPr>
            <sz val="8"/>
            <color indexed="81"/>
            <rFont val="Tahoma"/>
            <family val="2"/>
          </rPr>
          <t xml:space="preserve">Minimum Height/Drop is 500mm.
Maximum Height/Drop is 3000mm. </t>
        </r>
      </text>
    </comment>
    <comment ref="H54" authorId="0" shapeId="0" xr:uid="{00000000-0006-0000-0700-000039020000}">
      <text>
        <r>
          <rPr>
            <sz val="8"/>
            <color indexed="81"/>
            <rFont val="Tahoma"/>
            <family val="2"/>
          </rPr>
          <t xml:space="preserve">
Panel Quantities 
options;
2
3
4
5
6
7
9
Please note; 
Minimum Panel Width is 400mm.
Maximum Panel Width is 1000mm.</t>
        </r>
      </text>
    </comment>
    <comment ref="I54" authorId="0" shapeId="0" xr:uid="{00000000-0006-0000-0700-00003A02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54" authorId="0" shapeId="0" xr:uid="{00000000-0006-0000-0700-00003B020000}">
      <text>
        <r>
          <rPr>
            <sz val="8"/>
            <color indexed="81"/>
            <rFont val="Tahoma"/>
            <family val="2"/>
          </rPr>
          <t>When selecting a
Corner or Bay 
Window Type, 
the 
CMB Corner WS 
or 
CMB Bay WS 
must be completed.</t>
        </r>
      </text>
    </comment>
    <comment ref="L54" authorId="0" shapeId="0" xr:uid="{00000000-0006-0000-0700-00003C020000}">
      <text>
        <r>
          <rPr>
            <sz val="8"/>
            <color indexed="81"/>
            <rFont val="Tahoma"/>
            <family val="2"/>
          </rPr>
          <t>ACT 
Actual Measurements
You have made the allowances.
NAM
No Allowances Made 
The factory will make the deductions.</t>
        </r>
      </text>
    </comment>
    <comment ref="N54" authorId="0" shapeId="0" xr:uid="{00000000-0006-0000-0700-00003D020000}">
      <text>
        <r>
          <rPr>
            <sz val="8"/>
            <color indexed="81"/>
            <rFont val="Tahoma"/>
            <family val="2"/>
          </rPr>
          <t>Track Colour options are;
Clear Anodised
Black
White
White Birch
Please note; 
All Blinds are supplied 
with a Clear Anodised Wand.</t>
        </r>
      </text>
    </comment>
    <comment ref="O54" authorId="0" shapeId="0" xr:uid="{00000000-0006-0000-0700-00003E020000}">
      <text>
        <r>
          <rPr>
            <sz val="8"/>
            <color indexed="81"/>
            <rFont val="Tahoma"/>
            <family val="2"/>
          </rPr>
          <t xml:space="preserve">
Finish options;
Sewn In Pocket
Bottom Rail</t>
        </r>
      </text>
    </comment>
    <comment ref="P54" authorId="0" shapeId="0" xr:uid="{00000000-0006-0000-0700-00003F020000}">
      <text>
        <r>
          <rPr>
            <sz val="8"/>
            <color indexed="81"/>
            <rFont val="Tahoma"/>
            <family val="2"/>
          </rPr>
          <t xml:space="preserve">
Bottom Rail Colour options;
Bright Silver
Clear Anodised
Metallic Black
Mocha
White
White Birch</t>
        </r>
      </text>
    </comment>
    <comment ref="Q54" authorId="0" shapeId="0" xr:uid="{00000000-0006-0000-0700-000040020000}">
      <text>
        <r>
          <rPr>
            <sz val="8"/>
            <color indexed="81"/>
            <rFont val="Tahoma"/>
            <family val="2"/>
          </rPr>
          <t>When
 Standard or Common 
is selected the 
Pelmet Colour 
must be entered.</t>
        </r>
      </text>
    </comment>
    <comment ref="D55" authorId="0" shapeId="0" xr:uid="{00000000-0006-0000-0700-000041020000}">
      <text>
        <r>
          <rPr>
            <sz val="8"/>
            <color indexed="81"/>
            <rFont val="Tahoma"/>
            <family val="2"/>
          </rPr>
          <t>Fabric options are;
Amalfi
Como (Blockout)
Como (Translucent)
Florence
London
Maui
Milan
Pompeii
Rome (Blockout)
Rome (Translucent)
Sunscreen</t>
        </r>
      </text>
    </comment>
    <comment ref="E55" authorId="0" shapeId="0" xr:uid="{00000000-0006-0000-0700-00004202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55" authorId="0" shapeId="0" xr:uid="{00000000-0006-0000-0700-00004302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5" authorId="0" shapeId="0" xr:uid="{00000000-0006-0000-0700-000044020000}">
      <text>
        <r>
          <rPr>
            <sz val="8"/>
            <color indexed="81"/>
            <rFont val="Tahoma"/>
            <family val="2"/>
          </rPr>
          <t xml:space="preserve">Minimum Height/Drop is 500mm.
Maximum Height/Drop is 3000mm. </t>
        </r>
      </text>
    </comment>
    <comment ref="H55" authorId="0" shapeId="0" xr:uid="{00000000-0006-0000-0700-000045020000}">
      <text>
        <r>
          <rPr>
            <sz val="8"/>
            <color indexed="81"/>
            <rFont val="Tahoma"/>
            <family val="2"/>
          </rPr>
          <t xml:space="preserve">
Panel Quantities 
options;
2
3
4
5
6
7
9
Please note; 
Minimum Panel Width is 400mm.
Maximum Panel Width is 1000mm.</t>
        </r>
      </text>
    </comment>
    <comment ref="I55" authorId="0" shapeId="0" xr:uid="{00000000-0006-0000-0700-00004602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55" authorId="0" shapeId="0" xr:uid="{00000000-0006-0000-0700-000047020000}">
      <text>
        <r>
          <rPr>
            <sz val="8"/>
            <color indexed="81"/>
            <rFont val="Tahoma"/>
            <family val="2"/>
          </rPr>
          <t>When selecting a
Corner or Bay 
Window Type, 
the 
CMB Corner WS 
or 
CMB Bay WS 
must be completed.</t>
        </r>
      </text>
    </comment>
    <comment ref="L55" authorId="0" shapeId="0" xr:uid="{00000000-0006-0000-0700-000048020000}">
      <text>
        <r>
          <rPr>
            <sz val="8"/>
            <color indexed="81"/>
            <rFont val="Tahoma"/>
            <family val="2"/>
          </rPr>
          <t>ACT 
Actual Measurements
You have made the allowances.
NAM
No Allowances Made 
The factory will make the deductions.</t>
        </r>
      </text>
    </comment>
    <comment ref="N55" authorId="0" shapeId="0" xr:uid="{00000000-0006-0000-0700-000049020000}">
      <text>
        <r>
          <rPr>
            <sz val="8"/>
            <color indexed="81"/>
            <rFont val="Tahoma"/>
            <family val="2"/>
          </rPr>
          <t>Track Colour options are;
Clear Anodised
Black
White
White Birch
Please note; 
All Blinds are supplied 
with a Clear Anodised Wand.</t>
        </r>
      </text>
    </comment>
    <comment ref="O55" authorId="0" shapeId="0" xr:uid="{00000000-0006-0000-0700-00004A020000}">
      <text>
        <r>
          <rPr>
            <sz val="8"/>
            <color indexed="81"/>
            <rFont val="Tahoma"/>
            <family val="2"/>
          </rPr>
          <t xml:space="preserve">
Finish options;
Sewn In Pocket
Bottom Rail</t>
        </r>
      </text>
    </comment>
    <comment ref="P55" authorId="0" shapeId="0" xr:uid="{00000000-0006-0000-0700-00004B020000}">
      <text>
        <r>
          <rPr>
            <sz val="8"/>
            <color indexed="81"/>
            <rFont val="Tahoma"/>
            <family val="2"/>
          </rPr>
          <t xml:space="preserve">
Bottom Rail Colour options;
Bright Silver
Clear Anodised
Metallic Black
Mocha
White
White Birch</t>
        </r>
      </text>
    </comment>
    <comment ref="Q55" authorId="0" shapeId="0" xr:uid="{00000000-0006-0000-0700-00004C020000}">
      <text>
        <r>
          <rPr>
            <sz val="8"/>
            <color indexed="81"/>
            <rFont val="Tahoma"/>
            <family val="2"/>
          </rPr>
          <t>When
 Standard or Common 
is selected the 
Pelmet Colour 
must be entered.</t>
        </r>
      </text>
    </comment>
    <comment ref="D56" authorId="0" shapeId="0" xr:uid="{00000000-0006-0000-0700-00004D020000}">
      <text>
        <r>
          <rPr>
            <sz val="8"/>
            <color indexed="81"/>
            <rFont val="Tahoma"/>
            <family val="2"/>
          </rPr>
          <t>Fabric options are;
Amalfi
Como (Blockout)
Como (Translucent)
Florence
London
Maui
Milan
Pompeii
Rome (Blockout)
Rome (Translucent)
Sunscreen</t>
        </r>
      </text>
    </comment>
    <comment ref="E56" authorId="0" shapeId="0" xr:uid="{00000000-0006-0000-0700-00004E02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56" authorId="0" shapeId="0" xr:uid="{00000000-0006-0000-0700-00004F02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6" authorId="0" shapeId="0" xr:uid="{00000000-0006-0000-0700-000050020000}">
      <text>
        <r>
          <rPr>
            <sz val="8"/>
            <color indexed="81"/>
            <rFont val="Tahoma"/>
            <family val="2"/>
          </rPr>
          <t xml:space="preserve">Minimum Height/Drop is 500mm.
Maximum Height/Drop is 3000mm. </t>
        </r>
      </text>
    </comment>
    <comment ref="H56" authorId="0" shapeId="0" xr:uid="{00000000-0006-0000-0700-000051020000}">
      <text>
        <r>
          <rPr>
            <sz val="8"/>
            <color indexed="81"/>
            <rFont val="Tahoma"/>
            <family val="2"/>
          </rPr>
          <t xml:space="preserve">
Panel Quantities 
options;
2
3
4
5
6
7
9
Please note; 
Minimum Panel Width is 400mm.
Maximum Panel Width is 1000mm.</t>
        </r>
      </text>
    </comment>
    <comment ref="I56" authorId="0" shapeId="0" xr:uid="{00000000-0006-0000-0700-00005202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56" authorId="0" shapeId="0" xr:uid="{00000000-0006-0000-0700-000053020000}">
      <text>
        <r>
          <rPr>
            <sz val="8"/>
            <color indexed="81"/>
            <rFont val="Tahoma"/>
            <family val="2"/>
          </rPr>
          <t>When selecting a
Corner or Bay 
Window Type, 
the 
CMB Corner WS 
or 
CMB Bay WS 
must be completed.</t>
        </r>
      </text>
    </comment>
    <comment ref="L56" authorId="0" shapeId="0" xr:uid="{00000000-0006-0000-0700-000054020000}">
      <text>
        <r>
          <rPr>
            <sz val="8"/>
            <color indexed="81"/>
            <rFont val="Tahoma"/>
            <family val="2"/>
          </rPr>
          <t>ACT 
Actual Measurements
You have made the allowances.
NAM
No Allowances Made 
The factory will make the deductions.</t>
        </r>
      </text>
    </comment>
    <comment ref="N56" authorId="0" shapeId="0" xr:uid="{00000000-0006-0000-0700-000055020000}">
      <text>
        <r>
          <rPr>
            <sz val="8"/>
            <color indexed="81"/>
            <rFont val="Tahoma"/>
            <family val="2"/>
          </rPr>
          <t>Track Colour options are;
Clear Anodised
Black
White
White Birch
Please note; 
All Blinds are supplied 
with a Clear Anodised Wand.</t>
        </r>
      </text>
    </comment>
    <comment ref="O56" authorId="0" shapeId="0" xr:uid="{00000000-0006-0000-0700-000056020000}">
      <text>
        <r>
          <rPr>
            <sz val="8"/>
            <color indexed="81"/>
            <rFont val="Tahoma"/>
            <family val="2"/>
          </rPr>
          <t xml:space="preserve">
Finish options;
Sewn In Pocket
Bottom Rail</t>
        </r>
      </text>
    </comment>
    <comment ref="P56" authorId="0" shapeId="0" xr:uid="{00000000-0006-0000-0700-000057020000}">
      <text>
        <r>
          <rPr>
            <sz val="8"/>
            <color indexed="81"/>
            <rFont val="Tahoma"/>
            <family val="2"/>
          </rPr>
          <t xml:space="preserve">
Bottom Rail Colour options;
Bright Silver
Clear Anodised
Metallic Black
Mocha
White
White Birch</t>
        </r>
      </text>
    </comment>
    <comment ref="Q56" authorId="0" shapeId="0" xr:uid="{00000000-0006-0000-0700-000058020000}">
      <text>
        <r>
          <rPr>
            <sz val="8"/>
            <color indexed="81"/>
            <rFont val="Tahoma"/>
            <family val="2"/>
          </rPr>
          <t>When
 Standard or Common 
is selected the 
Pelmet Colour 
must be entered.</t>
        </r>
      </text>
    </comment>
    <comment ref="D57" authorId="0" shapeId="0" xr:uid="{00000000-0006-0000-0700-000059020000}">
      <text>
        <r>
          <rPr>
            <sz val="8"/>
            <color indexed="81"/>
            <rFont val="Tahoma"/>
            <family val="2"/>
          </rPr>
          <t>Fabric options are;
Amalfi
Como (Blockout)
Como (Translucent)
Florence
London
Maui
Milan
Pompeii
Rome (Blockout)
Rome (Translucent)
Sunscreen</t>
        </r>
      </text>
    </comment>
    <comment ref="E57" authorId="0" shapeId="0" xr:uid="{00000000-0006-0000-0700-00005A02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57" authorId="0" shapeId="0" xr:uid="{00000000-0006-0000-0700-00005B02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7" authorId="0" shapeId="0" xr:uid="{00000000-0006-0000-0700-00005C020000}">
      <text>
        <r>
          <rPr>
            <sz val="8"/>
            <color indexed="81"/>
            <rFont val="Tahoma"/>
            <family val="2"/>
          </rPr>
          <t xml:space="preserve">Minimum Height/Drop is 500mm.
Maximum Height/Drop is 3000mm. </t>
        </r>
      </text>
    </comment>
    <comment ref="H57" authorId="0" shapeId="0" xr:uid="{00000000-0006-0000-0700-00005D020000}">
      <text>
        <r>
          <rPr>
            <sz val="8"/>
            <color indexed="81"/>
            <rFont val="Tahoma"/>
            <family val="2"/>
          </rPr>
          <t xml:space="preserve">
Panel Quantities 
options;
2
3
4
5
6
7
9
Please note; 
Minimum Panel Width is 400mm.
Maximum Panel Width is 1000mm.</t>
        </r>
      </text>
    </comment>
    <comment ref="I57" authorId="0" shapeId="0" xr:uid="{00000000-0006-0000-0700-00005E02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57" authorId="0" shapeId="0" xr:uid="{00000000-0006-0000-0700-00005F020000}">
      <text>
        <r>
          <rPr>
            <sz val="8"/>
            <color indexed="81"/>
            <rFont val="Tahoma"/>
            <family val="2"/>
          </rPr>
          <t>When selecting a
Corner or Bay 
Window Type, 
the 
CMB Corner WS 
or 
CMB Bay WS 
must be completed.</t>
        </r>
      </text>
    </comment>
    <comment ref="L57" authorId="0" shapeId="0" xr:uid="{00000000-0006-0000-0700-000060020000}">
      <text>
        <r>
          <rPr>
            <sz val="8"/>
            <color indexed="81"/>
            <rFont val="Tahoma"/>
            <family val="2"/>
          </rPr>
          <t>ACT 
Actual Measurements
You have made the allowances.
NAM
No Allowances Made 
The factory will make the deductions.</t>
        </r>
      </text>
    </comment>
    <comment ref="N57" authorId="0" shapeId="0" xr:uid="{00000000-0006-0000-0700-000061020000}">
      <text>
        <r>
          <rPr>
            <sz val="8"/>
            <color indexed="81"/>
            <rFont val="Tahoma"/>
            <family val="2"/>
          </rPr>
          <t>Track Colour options are;
Clear Anodised
Black
White
White Birch
Please note; 
All Blinds are supplied 
with a Clear Anodised Wand.</t>
        </r>
      </text>
    </comment>
    <comment ref="O57" authorId="0" shapeId="0" xr:uid="{00000000-0006-0000-0700-000062020000}">
      <text>
        <r>
          <rPr>
            <sz val="8"/>
            <color indexed="81"/>
            <rFont val="Tahoma"/>
            <family val="2"/>
          </rPr>
          <t xml:space="preserve">
Finish options;
Sewn In Pocket
Bottom Rail</t>
        </r>
      </text>
    </comment>
    <comment ref="P57" authorId="0" shapeId="0" xr:uid="{00000000-0006-0000-0700-000063020000}">
      <text>
        <r>
          <rPr>
            <sz val="8"/>
            <color indexed="81"/>
            <rFont val="Tahoma"/>
            <family val="2"/>
          </rPr>
          <t xml:space="preserve">
Bottom Rail Colour options;
Bright Silver
Clear Anodised
Metallic Black
Mocha
White
White Birch</t>
        </r>
      </text>
    </comment>
    <comment ref="Q57" authorId="0" shapeId="0" xr:uid="{00000000-0006-0000-0700-000064020000}">
      <text>
        <r>
          <rPr>
            <sz val="8"/>
            <color indexed="81"/>
            <rFont val="Tahoma"/>
            <family val="2"/>
          </rPr>
          <t>When
 Standard or Common 
is selected the 
Pelmet Colour 
must be entered.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D7" authorId="0" shapeId="0" xr:uid="{00000000-0006-0000-0800-000001000000}">
      <text>
        <r>
          <rPr>
            <sz val="8"/>
            <color indexed="81"/>
            <rFont val="Tahoma"/>
            <family val="2"/>
          </rPr>
          <t>The Products options are;
Multi Shade
Roman Shade
Triple Shade</t>
        </r>
      </text>
    </comment>
    <comment ref="E7" authorId="0" shapeId="0" xr:uid="{00000000-0006-0000-0800-00000200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7" authorId="0" shapeId="0" xr:uid="{00000000-0006-0000-0800-000003000000}">
      <text>
        <r>
          <rPr>
            <sz val="8"/>
            <color indexed="81"/>
            <rFont val="Tahoma"/>
            <family val="2"/>
          </rPr>
          <t>The Colour can only be selected 
once the Product Type &amp; Finish has 
been entered.
Please refer to the Swatches.</t>
        </r>
      </text>
    </comment>
    <comment ref="G7" authorId="0" shapeId="0" xr:uid="{00000000-0006-0000-0800-00000400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7" authorId="0" shapeId="0" xr:uid="{00000000-0006-0000-0800-000005000000}">
      <text>
        <r>
          <rPr>
            <sz val="8"/>
            <color indexed="81"/>
            <rFont val="Tahoma"/>
            <family val="2"/>
          </rPr>
          <t xml:space="preserve">The Minimum Height/Drop is 300mm.
For the Multi Shade, 
Roman Shade &amp; 
Triple Shade options 
the Maximum Drop is 3000mm. </t>
        </r>
      </text>
    </comment>
    <comment ref="I7" authorId="0" shapeId="0" xr:uid="{00000000-0006-0000-0800-000006000000}">
      <text>
        <r>
          <rPr>
            <sz val="8"/>
            <color indexed="81"/>
            <rFont val="Tahoma"/>
            <family val="2"/>
          </rPr>
          <t>The Window Type 
options are;
Standard
Side By Side</t>
        </r>
      </text>
    </comment>
    <comment ref="J7" authorId="0" shapeId="0" xr:uid="{00000000-0006-0000-0800-000007000000}">
      <text>
        <r>
          <rPr>
            <sz val="8"/>
            <color indexed="81"/>
            <rFont val="Tahoma"/>
            <family val="2"/>
          </rPr>
          <t>The Fitting options are;
Face Fit
Recess Fit</t>
        </r>
      </text>
    </comment>
    <comment ref="K7" authorId="0" shapeId="0" xr:uid="{00000000-0006-0000-0800-00000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7" authorId="0" shapeId="0" xr:uid="{00000000-0006-0000-0800-000009000000}">
      <text>
        <r>
          <rPr>
            <sz val="8"/>
            <color indexed="81"/>
            <rFont val="Tahoma"/>
            <family val="2"/>
          </rPr>
          <t>The Head Box/Rail 
Colours are;
Default
Beige
Black
Dark Brown
Grey
Ivory
Light Brown
White</t>
        </r>
      </text>
    </comment>
    <comment ref="M7" authorId="0" shapeId="0" xr:uid="{00000000-0006-0000-0800-00000A00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7" authorId="0" shapeId="0" xr:uid="{00000000-0006-0000-0800-00000B000000}">
      <text>
        <r>
          <rPr>
            <sz val="8"/>
            <color indexed="81"/>
            <rFont val="Tahoma"/>
            <family val="2"/>
          </rPr>
          <t>The Control 
options are;
Left
Right</t>
        </r>
      </text>
    </comment>
    <comment ref="O7" authorId="0" shapeId="0" xr:uid="{00000000-0006-0000-0800-00000C000000}">
      <text>
        <r>
          <rPr>
            <sz val="8"/>
            <color indexed="81"/>
            <rFont val="Tahoma"/>
            <family val="2"/>
          </rPr>
          <t>The Chain Length 
options are; 
Default
500mm
750mm
1000mm
1250mm
1500mm
2000mm</t>
        </r>
      </text>
    </comment>
    <comment ref="P7" authorId="0" shapeId="0" xr:uid="{00000000-0006-0000-0800-00000D000000}">
      <text>
        <r>
          <rPr>
            <sz val="8"/>
            <color indexed="81"/>
            <rFont val="Tahoma"/>
            <family val="2"/>
          </rPr>
          <t>The Chain Colour 
options are;
Default
Stainless Steel
If Default is selected 
then the Chain Colour 
will be matched to the 
Head Box Colour.</t>
        </r>
      </text>
    </comment>
    <comment ref="Q7" authorId="0" shapeId="0" xr:uid="{00000000-0006-0000-0800-00000E000000}">
      <text>
        <r>
          <rPr>
            <sz val="8"/>
            <color indexed="81"/>
            <rFont val="Tahoma"/>
            <family val="2"/>
          </rPr>
          <t>For Multi Shade, 
Roman Shade and
Triple Shade,  
the  Fabric Insert  
options are;
No
Yes</t>
        </r>
      </text>
    </comment>
    <comment ref="R7" authorId="0" shapeId="0" xr:uid="{00000000-0006-0000-0800-00000F000000}">
      <text>
        <r>
          <rPr>
            <sz val="8"/>
            <color indexed="81"/>
            <rFont val="Tahoma"/>
            <family val="2"/>
          </rPr>
          <t>For Multi Shade, 
the options are;
Standard
Over Roll
For Roman Shade, 
the options are;
Over Roll
For Triple Shade, 
the options are;
Standard</t>
        </r>
      </text>
    </comment>
    <comment ref="T7" authorId="0" shapeId="0" xr:uid="{00000000-0006-0000-0800-000010000000}">
      <text>
        <r>
          <rPr>
            <sz val="8"/>
            <color indexed="81"/>
            <rFont val="Tahoma"/>
            <family val="2"/>
          </rPr>
          <t>Please use this section 
to specify 
any Special Requirements
for the Line/Order.</t>
        </r>
      </text>
    </comment>
    <comment ref="D8" authorId="0" shapeId="0" xr:uid="{00000000-0006-0000-0800-000011000000}">
      <text>
        <r>
          <rPr>
            <sz val="8"/>
            <color indexed="81"/>
            <rFont val="Tahoma"/>
            <family val="2"/>
          </rPr>
          <t>The Products options are;
Multi Shade
Roman Shade
Triple Shade</t>
        </r>
      </text>
    </comment>
    <comment ref="E8" authorId="0" shapeId="0" xr:uid="{00000000-0006-0000-0800-00001200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8" authorId="0" shapeId="0" xr:uid="{00000000-0006-0000-0800-000013000000}">
      <text>
        <r>
          <rPr>
            <sz val="8"/>
            <color indexed="81"/>
            <rFont val="Tahoma"/>
            <family val="2"/>
          </rPr>
          <t>The Colour can only be selected 
once the Product Type &amp; Finish has 
been entered.
Please refer to the Swatches.</t>
        </r>
      </text>
    </comment>
    <comment ref="G8" authorId="0" shapeId="0" xr:uid="{00000000-0006-0000-0800-00001400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8" authorId="0" shapeId="0" xr:uid="{00000000-0006-0000-0800-000015000000}">
      <text>
        <r>
          <rPr>
            <sz val="8"/>
            <color indexed="81"/>
            <rFont val="Tahoma"/>
            <family val="2"/>
          </rPr>
          <t xml:space="preserve">The Minimum Height/Drop is 300mm.
For the Multi Shade, 
Roman Shade &amp; 
Triple Shade options 
the Maximum Drop is 3000mm. </t>
        </r>
      </text>
    </comment>
    <comment ref="I8" authorId="0" shapeId="0" xr:uid="{00000000-0006-0000-0800-000016000000}">
      <text>
        <r>
          <rPr>
            <sz val="8"/>
            <color indexed="81"/>
            <rFont val="Tahoma"/>
            <family val="2"/>
          </rPr>
          <t>The Window Type 
options are;
Standard
Side By Side</t>
        </r>
      </text>
    </comment>
    <comment ref="J8" authorId="0" shapeId="0" xr:uid="{00000000-0006-0000-0800-000017000000}">
      <text>
        <r>
          <rPr>
            <sz val="8"/>
            <color indexed="81"/>
            <rFont val="Tahoma"/>
            <family val="2"/>
          </rPr>
          <t>The Fitting options are;
Face Fit
Recess Fit</t>
        </r>
      </text>
    </comment>
    <comment ref="K8" authorId="0" shapeId="0" xr:uid="{00000000-0006-0000-0800-00001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8" authorId="0" shapeId="0" xr:uid="{00000000-0006-0000-0800-000019000000}">
      <text>
        <r>
          <rPr>
            <sz val="8"/>
            <color indexed="81"/>
            <rFont val="Tahoma"/>
            <family val="2"/>
          </rPr>
          <t>The Head Box/Rail 
Colours are;
Default
Beige
Black
Dark Brown
Grey
Ivory
Light Brown
White</t>
        </r>
      </text>
    </comment>
    <comment ref="M8" authorId="0" shapeId="0" xr:uid="{00000000-0006-0000-0800-00001A00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8" authorId="0" shapeId="0" xr:uid="{00000000-0006-0000-0800-00001B000000}">
      <text>
        <r>
          <rPr>
            <sz val="8"/>
            <color indexed="81"/>
            <rFont val="Tahoma"/>
            <family val="2"/>
          </rPr>
          <t>The Control 
options are;
Left
Right</t>
        </r>
      </text>
    </comment>
    <comment ref="O8" authorId="0" shapeId="0" xr:uid="{00000000-0006-0000-0800-00001C000000}">
      <text>
        <r>
          <rPr>
            <sz val="8"/>
            <color indexed="81"/>
            <rFont val="Tahoma"/>
            <family val="2"/>
          </rPr>
          <t>The Chain Length 
options are; 
Default
500mm
750mm
1000mm
1250mm
1500mm
2000mm</t>
        </r>
      </text>
    </comment>
    <comment ref="P8" authorId="0" shapeId="0" xr:uid="{00000000-0006-0000-0800-00001D000000}">
      <text>
        <r>
          <rPr>
            <sz val="8"/>
            <color indexed="81"/>
            <rFont val="Tahoma"/>
            <family val="2"/>
          </rPr>
          <t>The Chain Colour 
options are;
Default
Stainless Steel
If Default is selected 
then the Chain Colour 
will be matched to the 
Head Box Colour.</t>
        </r>
      </text>
    </comment>
    <comment ref="Q8" authorId="0" shapeId="0" xr:uid="{00000000-0006-0000-0800-00001E000000}">
      <text>
        <r>
          <rPr>
            <sz val="8"/>
            <color indexed="81"/>
            <rFont val="Tahoma"/>
            <family val="2"/>
          </rPr>
          <t>For Multi Shade, 
Roman Shade and
Triple Shade,  
the  Fabric Insert  
options are;
No
Yes</t>
        </r>
      </text>
    </comment>
    <comment ref="R8" authorId="0" shapeId="0" xr:uid="{00000000-0006-0000-0800-00001F000000}">
      <text>
        <r>
          <rPr>
            <sz val="8"/>
            <color indexed="81"/>
            <rFont val="Tahoma"/>
            <family val="2"/>
          </rPr>
          <t>For Multi Shade, 
the options are;
Standard
Over Roll
For Roman Shade, 
the options are;
Over Roll
For Triple Shade, 
the options are;
Standard</t>
        </r>
      </text>
    </comment>
    <comment ref="T8" authorId="0" shapeId="0" xr:uid="{00000000-0006-0000-0800-000020000000}">
      <text>
        <r>
          <rPr>
            <sz val="8"/>
            <color indexed="81"/>
            <rFont val="Tahoma"/>
            <family val="2"/>
          </rPr>
          <t>Please use this section 
to specify 
any Special Requirements
for the Line/Order.</t>
        </r>
      </text>
    </comment>
    <comment ref="D9" authorId="0" shapeId="0" xr:uid="{00000000-0006-0000-0800-000021000000}">
      <text>
        <r>
          <rPr>
            <sz val="8"/>
            <color indexed="81"/>
            <rFont val="Tahoma"/>
            <family val="2"/>
          </rPr>
          <t>The Products options are;
Multi Shade
Roman Shade
Triple Shade</t>
        </r>
      </text>
    </comment>
    <comment ref="E9" authorId="0" shapeId="0" xr:uid="{00000000-0006-0000-0800-00002200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9" authorId="0" shapeId="0" xr:uid="{00000000-0006-0000-0800-000023000000}">
      <text>
        <r>
          <rPr>
            <sz val="8"/>
            <color indexed="81"/>
            <rFont val="Tahoma"/>
            <family val="2"/>
          </rPr>
          <t>The Colour can only be selected 
once the Product Type &amp; Finish has 
been entered.
Please refer to the Swatches.</t>
        </r>
      </text>
    </comment>
    <comment ref="G9" authorId="0" shapeId="0" xr:uid="{00000000-0006-0000-0800-00002400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9" authorId="0" shapeId="0" xr:uid="{00000000-0006-0000-0800-000025000000}">
      <text>
        <r>
          <rPr>
            <sz val="8"/>
            <color indexed="81"/>
            <rFont val="Tahoma"/>
            <family val="2"/>
          </rPr>
          <t xml:space="preserve">The Minimum Height/Drop is 300mm.
For the Multi Shade, 
Roman Shade &amp; 
Triple Shade options 
the Maximum Drop is 3000mm. </t>
        </r>
      </text>
    </comment>
    <comment ref="I9" authorId="0" shapeId="0" xr:uid="{00000000-0006-0000-0800-000026000000}">
      <text>
        <r>
          <rPr>
            <sz val="8"/>
            <color indexed="81"/>
            <rFont val="Tahoma"/>
            <family val="2"/>
          </rPr>
          <t>The Window Type 
options are;
Standard
Side By Side</t>
        </r>
      </text>
    </comment>
    <comment ref="J9" authorId="0" shapeId="0" xr:uid="{00000000-0006-0000-0800-000027000000}">
      <text>
        <r>
          <rPr>
            <sz val="8"/>
            <color indexed="81"/>
            <rFont val="Tahoma"/>
            <family val="2"/>
          </rPr>
          <t>The Fitting options are;
Face Fit
Recess Fit</t>
        </r>
      </text>
    </comment>
    <comment ref="K9" authorId="0" shapeId="0" xr:uid="{00000000-0006-0000-0800-00002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9" authorId="0" shapeId="0" xr:uid="{00000000-0006-0000-0800-000029000000}">
      <text>
        <r>
          <rPr>
            <sz val="8"/>
            <color indexed="81"/>
            <rFont val="Tahoma"/>
            <family val="2"/>
          </rPr>
          <t>The Head Box/Rail 
Colours are;
Default
Beige
Black
Dark Brown
Grey
Ivory
Light Brown
White</t>
        </r>
      </text>
    </comment>
    <comment ref="M9" authorId="0" shapeId="0" xr:uid="{00000000-0006-0000-0800-00002A00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9" authorId="0" shapeId="0" xr:uid="{00000000-0006-0000-0800-00002B000000}">
      <text>
        <r>
          <rPr>
            <sz val="8"/>
            <color indexed="81"/>
            <rFont val="Tahoma"/>
            <family val="2"/>
          </rPr>
          <t>The Control 
options are;
Left
Right</t>
        </r>
      </text>
    </comment>
    <comment ref="O9" authorId="0" shapeId="0" xr:uid="{00000000-0006-0000-0800-00002C000000}">
      <text>
        <r>
          <rPr>
            <sz val="8"/>
            <color indexed="81"/>
            <rFont val="Tahoma"/>
            <family val="2"/>
          </rPr>
          <t>The Chain Length 
options are; 
Default
500mm
750mm
1000mm
1250mm
1500mm
2000mm</t>
        </r>
      </text>
    </comment>
    <comment ref="P9" authorId="0" shapeId="0" xr:uid="{00000000-0006-0000-0800-00002D000000}">
      <text>
        <r>
          <rPr>
            <sz val="8"/>
            <color indexed="81"/>
            <rFont val="Tahoma"/>
            <family val="2"/>
          </rPr>
          <t>The Chain Colour 
options are;
Default
Stainless Steel
If Default is selected 
then the Chain Colour 
will be matched to the 
Head Box Colour.</t>
        </r>
      </text>
    </comment>
    <comment ref="Q9" authorId="0" shapeId="0" xr:uid="{00000000-0006-0000-0800-00002E000000}">
      <text>
        <r>
          <rPr>
            <sz val="8"/>
            <color indexed="81"/>
            <rFont val="Tahoma"/>
            <family val="2"/>
          </rPr>
          <t>For Multi Shade, 
Roman Shade and
Triple Shade,  
the  Fabric Insert  
options are;
No
Yes</t>
        </r>
      </text>
    </comment>
    <comment ref="R9" authorId="0" shapeId="0" xr:uid="{00000000-0006-0000-0800-00002F000000}">
      <text>
        <r>
          <rPr>
            <sz val="8"/>
            <color indexed="81"/>
            <rFont val="Tahoma"/>
            <family val="2"/>
          </rPr>
          <t>For Multi Shade, 
the options are;
Standard
Over Roll
For Roman Shade, 
the options are;
Over Roll
For Triple Shade, 
the options are;
Standard</t>
        </r>
      </text>
    </comment>
    <comment ref="T9" authorId="0" shapeId="0" xr:uid="{00000000-0006-0000-0800-000030000000}">
      <text>
        <r>
          <rPr>
            <sz val="8"/>
            <color indexed="81"/>
            <rFont val="Tahoma"/>
            <family val="2"/>
          </rPr>
          <t>Please use this section 
to specify 
any Special Requirements
for the Line/Order.</t>
        </r>
      </text>
    </comment>
    <comment ref="D10" authorId="0" shapeId="0" xr:uid="{00000000-0006-0000-0800-000031000000}">
      <text>
        <r>
          <rPr>
            <sz val="8"/>
            <color indexed="81"/>
            <rFont val="Tahoma"/>
            <family val="2"/>
          </rPr>
          <t>The Products options are;
Multi Shade
Roman Shade
Triple Shade</t>
        </r>
      </text>
    </comment>
    <comment ref="E10" authorId="0" shapeId="0" xr:uid="{00000000-0006-0000-0800-00003200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10" authorId="0" shapeId="0" xr:uid="{00000000-0006-0000-0800-000033000000}">
      <text>
        <r>
          <rPr>
            <sz val="8"/>
            <color indexed="81"/>
            <rFont val="Tahoma"/>
            <family val="2"/>
          </rPr>
          <t>The Colour can only be selected 
once the Product Type &amp; Finish has 
been entered.
Please refer to the Swatches.</t>
        </r>
      </text>
    </comment>
    <comment ref="G10" authorId="0" shapeId="0" xr:uid="{00000000-0006-0000-0800-00003400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0" authorId="0" shapeId="0" xr:uid="{00000000-0006-0000-0800-000035000000}">
      <text>
        <r>
          <rPr>
            <sz val="8"/>
            <color indexed="81"/>
            <rFont val="Tahoma"/>
            <family val="2"/>
          </rPr>
          <t xml:space="preserve">The Minimum Height/Drop is 300mm.
For the Multi Shade, 
Roman Shade &amp; 
Triple Shade options 
the Maximum Drop is 3000mm. </t>
        </r>
      </text>
    </comment>
    <comment ref="I10" authorId="0" shapeId="0" xr:uid="{00000000-0006-0000-0800-000036000000}">
      <text>
        <r>
          <rPr>
            <sz val="8"/>
            <color indexed="81"/>
            <rFont val="Tahoma"/>
            <family val="2"/>
          </rPr>
          <t>The Window Type 
options are;
Standard
Side By Side</t>
        </r>
      </text>
    </comment>
    <comment ref="J10" authorId="0" shapeId="0" xr:uid="{00000000-0006-0000-0800-000037000000}">
      <text>
        <r>
          <rPr>
            <sz val="8"/>
            <color indexed="81"/>
            <rFont val="Tahoma"/>
            <family val="2"/>
          </rPr>
          <t>The Fitting options are;
Face Fit
Recess Fit</t>
        </r>
      </text>
    </comment>
    <comment ref="K10" authorId="0" shapeId="0" xr:uid="{00000000-0006-0000-0800-00003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0" authorId="0" shapeId="0" xr:uid="{00000000-0006-0000-0800-000039000000}">
      <text>
        <r>
          <rPr>
            <sz val="8"/>
            <color indexed="81"/>
            <rFont val="Tahoma"/>
            <family val="2"/>
          </rPr>
          <t>The Head Box/Rail 
Colours are;
Default
Beige
Black
Dark Brown
Grey
Ivory
Light Brown
White</t>
        </r>
      </text>
    </comment>
    <comment ref="M10" authorId="0" shapeId="0" xr:uid="{00000000-0006-0000-0800-00003A00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10" authorId="0" shapeId="0" xr:uid="{00000000-0006-0000-0800-00003B000000}">
      <text>
        <r>
          <rPr>
            <sz val="8"/>
            <color indexed="81"/>
            <rFont val="Tahoma"/>
            <family val="2"/>
          </rPr>
          <t>The Control 
options are;
Left
Right</t>
        </r>
      </text>
    </comment>
    <comment ref="O10" authorId="0" shapeId="0" xr:uid="{00000000-0006-0000-0800-00003C000000}">
      <text>
        <r>
          <rPr>
            <sz val="8"/>
            <color indexed="81"/>
            <rFont val="Tahoma"/>
            <family val="2"/>
          </rPr>
          <t>The Chain Length 
options are; 
Default
500mm
750mm
1000mm
1250mm
1500mm
2000mm</t>
        </r>
      </text>
    </comment>
    <comment ref="P10" authorId="0" shapeId="0" xr:uid="{00000000-0006-0000-0800-00003D000000}">
      <text>
        <r>
          <rPr>
            <sz val="8"/>
            <color indexed="81"/>
            <rFont val="Tahoma"/>
            <family val="2"/>
          </rPr>
          <t>The Chain Colour 
options are;
Default
Stainless Steel
If Default is selected 
then the Chain Colour 
will be matched to the 
Head Box Colour.</t>
        </r>
      </text>
    </comment>
    <comment ref="Q10" authorId="0" shapeId="0" xr:uid="{00000000-0006-0000-0800-00003E000000}">
      <text>
        <r>
          <rPr>
            <sz val="8"/>
            <color indexed="81"/>
            <rFont val="Tahoma"/>
            <family val="2"/>
          </rPr>
          <t>For Multi Shade, 
Roman Shade and
Triple Shade,  
the  Fabric Insert  
options are;
No
Yes</t>
        </r>
      </text>
    </comment>
    <comment ref="R10" authorId="0" shapeId="0" xr:uid="{00000000-0006-0000-0800-00003F000000}">
      <text>
        <r>
          <rPr>
            <sz val="8"/>
            <color indexed="81"/>
            <rFont val="Tahoma"/>
            <family val="2"/>
          </rPr>
          <t>For Multi Shade, 
the options are;
Standard
Over Roll
For Roman Shade, 
the options are;
Over Roll
For Triple Shade, 
the options are;
Standard</t>
        </r>
      </text>
    </comment>
    <comment ref="T10" authorId="0" shapeId="0" xr:uid="{00000000-0006-0000-0800-000040000000}">
      <text>
        <r>
          <rPr>
            <sz val="8"/>
            <color indexed="81"/>
            <rFont val="Tahoma"/>
            <family val="2"/>
          </rPr>
          <t>Please use this section 
to specify 
any Special Requirements
for the Line/Order.</t>
        </r>
      </text>
    </comment>
    <comment ref="D11" authorId="0" shapeId="0" xr:uid="{00000000-0006-0000-0800-000041000000}">
      <text>
        <r>
          <rPr>
            <sz val="8"/>
            <color indexed="81"/>
            <rFont val="Tahoma"/>
            <family val="2"/>
          </rPr>
          <t>The Products options are;
Multi Shade
Roman Shade
Triple Shade</t>
        </r>
      </text>
    </comment>
    <comment ref="E11" authorId="0" shapeId="0" xr:uid="{00000000-0006-0000-0800-00004200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11" authorId="0" shapeId="0" xr:uid="{00000000-0006-0000-0800-000043000000}">
      <text>
        <r>
          <rPr>
            <sz val="8"/>
            <color indexed="81"/>
            <rFont val="Tahoma"/>
            <family val="2"/>
          </rPr>
          <t>The Colour can only be selected 
once the Product Type &amp; Finish has 
been entered.
Please refer to the Swatches.</t>
        </r>
      </text>
    </comment>
    <comment ref="G11" authorId="0" shapeId="0" xr:uid="{00000000-0006-0000-0800-00004400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1" authorId="0" shapeId="0" xr:uid="{00000000-0006-0000-0800-000045000000}">
      <text>
        <r>
          <rPr>
            <sz val="8"/>
            <color indexed="81"/>
            <rFont val="Tahoma"/>
            <family val="2"/>
          </rPr>
          <t xml:space="preserve">The Minimum Height/Drop is 300mm.
For the Multi Shade, 
Roman Shade &amp; 
Triple Shade options 
the Maximum Drop is 3000mm. </t>
        </r>
      </text>
    </comment>
    <comment ref="I11" authorId="0" shapeId="0" xr:uid="{00000000-0006-0000-0800-000046000000}">
      <text>
        <r>
          <rPr>
            <sz val="8"/>
            <color indexed="81"/>
            <rFont val="Tahoma"/>
            <family val="2"/>
          </rPr>
          <t>The Window Type 
options are;
Standard
Side By Side</t>
        </r>
      </text>
    </comment>
    <comment ref="J11" authorId="0" shapeId="0" xr:uid="{00000000-0006-0000-0800-000047000000}">
      <text>
        <r>
          <rPr>
            <sz val="8"/>
            <color indexed="81"/>
            <rFont val="Tahoma"/>
            <family val="2"/>
          </rPr>
          <t>The Fitting options are;
Face Fit
Recess Fit</t>
        </r>
      </text>
    </comment>
    <comment ref="K11" authorId="0" shapeId="0" xr:uid="{00000000-0006-0000-0800-00004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1" authorId="0" shapeId="0" xr:uid="{00000000-0006-0000-0800-000049000000}">
      <text>
        <r>
          <rPr>
            <sz val="8"/>
            <color indexed="81"/>
            <rFont val="Tahoma"/>
            <family val="2"/>
          </rPr>
          <t>The Head Box/Rail 
Colours are;
Default
Beige
Black
Dark Brown
Grey
Ivory
Light Brown
White</t>
        </r>
      </text>
    </comment>
    <comment ref="M11" authorId="0" shapeId="0" xr:uid="{00000000-0006-0000-0800-00004A00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11" authorId="0" shapeId="0" xr:uid="{00000000-0006-0000-0800-00004B000000}">
      <text>
        <r>
          <rPr>
            <sz val="8"/>
            <color indexed="81"/>
            <rFont val="Tahoma"/>
            <family val="2"/>
          </rPr>
          <t>The Control 
options are;
Left
Right</t>
        </r>
      </text>
    </comment>
    <comment ref="O11" authorId="0" shapeId="0" xr:uid="{00000000-0006-0000-0800-00004C000000}">
      <text>
        <r>
          <rPr>
            <sz val="8"/>
            <color indexed="81"/>
            <rFont val="Tahoma"/>
            <family val="2"/>
          </rPr>
          <t>The Chain Length 
options are; 
Default
500mm
750mm
1000mm
1250mm
1500mm
2000mm</t>
        </r>
      </text>
    </comment>
    <comment ref="P11" authorId="0" shapeId="0" xr:uid="{00000000-0006-0000-0800-00004D000000}">
      <text>
        <r>
          <rPr>
            <sz val="8"/>
            <color indexed="81"/>
            <rFont val="Tahoma"/>
            <family val="2"/>
          </rPr>
          <t>The Chain Colour 
options are;
Default
Stainless Steel
If Default is selected 
then the Chain Colour 
will be matched to the 
Head Box Colour.</t>
        </r>
      </text>
    </comment>
    <comment ref="Q11" authorId="0" shapeId="0" xr:uid="{00000000-0006-0000-0800-00004E000000}">
      <text>
        <r>
          <rPr>
            <sz val="8"/>
            <color indexed="81"/>
            <rFont val="Tahoma"/>
            <family val="2"/>
          </rPr>
          <t>For Multi Shade, 
Roman Shade and
Triple Shade,  
the  Fabric Insert  
options are;
No
Yes</t>
        </r>
      </text>
    </comment>
    <comment ref="R11" authorId="0" shapeId="0" xr:uid="{00000000-0006-0000-0800-00004F000000}">
      <text>
        <r>
          <rPr>
            <sz val="8"/>
            <color indexed="81"/>
            <rFont val="Tahoma"/>
            <family val="2"/>
          </rPr>
          <t>For Multi Shade, 
the options are;
Standard
Over Roll
For Roman Shade, 
the options are;
Over Roll
For Triple Shade, 
the options are;
Standard</t>
        </r>
      </text>
    </comment>
    <comment ref="T11" authorId="0" shapeId="0" xr:uid="{00000000-0006-0000-0800-000050000000}">
      <text>
        <r>
          <rPr>
            <sz val="8"/>
            <color indexed="81"/>
            <rFont val="Tahoma"/>
            <family val="2"/>
          </rPr>
          <t>Please use this section 
to specify 
any Special Requirements
for the Line/Order.</t>
        </r>
      </text>
    </comment>
    <comment ref="D12" authorId="0" shapeId="0" xr:uid="{00000000-0006-0000-0800-000051000000}">
      <text>
        <r>
          <rPr>
            <sz val="8"/>
            <color indexed="81"/>
            <rFont val="Tahoma"/>
            <family val="2"/>
          </rPr>
          <t>The Products options are;
Multi Shade
Roman Shade
Triple Shade</t>
        </r>
      </text>
    </comment>
    <comment ref="E12" authorId="0" shapeId="0" xr:uid="{00000000-0006-0000-0800-00005200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12" authorId="0" shapeId="0" xr:uid="{00000000-0006-0000-0800-000053000000}">
      <text>
        <r>
          <rPr>
            <sz val="8"/>
            <color indexed="81"/>
            <rFont val="Tahoma"/>
            <family val="2"/>
          </rPr>
          <t>The Colour can only be selected 
once the Product Type &amp; Finish has 
been entered.
Please refer to the Swatches.</t>
        </r>
      </text>
    </comment>
    <comment ref="G12" authorId="0" shapeId="0" xr:uid="{00000000-0006-0000-0800-00005400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2" authorId="0" shapeId="0" xr:uid="{00000000-0006-0000-0800-000055000000}">
      <text>
        <r>
          <rPr>
            <sz val="8"/>
            <color indexed="81"/>
            <rFont val="Tahoma"/>
            <family val="2"/>
          </rPr>
          <t xml:space="preserve">The Minimum Height/Drop is 300mm.
For the Multi Shade, 
Roman Shade &amp; 
Triple Shade options 
the Maximum Drop is 3000mm. </t>
        </r>
      </text>
    </comment>
    <comment ref="I12" authorId="0" shapeId="0" xr:uid="{00000000-0006-0000-0800-000056000000}">
      <text>
        <r>
          <rPr>
            <sz val="8"/>
            <color indexed="81"/>
            <rFont val="Tahoma"/>
            <family val="2"/>
          </rPr>
          <t>The Window Type 
options are;
Standard
Side By Side</t>
        </r>
      </text>
    </comment>
    <comment ref="J12" authorId="0" shapeId="0" xr:uid="{00000000-0006-0000-0800-000057000000}">
      <text>
        <r>
          <rPr>
            <sz val="8"/>
            <color indexed="81"/>
            <rFont val="Tahoma"/>
            <family val="2"/>
          </rPr>
          <t>The Fitting options are;
Face Fit
Recess Fit</t>
        </r>
      </text>
    </comment>
    <comment ref="K12" authorId="0" shapeId="0" xr:uid="{00000000-0006-0000-0800-00005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2" authorId="0" shapeId="0" xr:uid="{00000000-0006-0000-0800-000059000000}">
      <text>
        <r>
          <rPr>
            <sz val="8"/>
            <color indexed="81"/>
            <rFont val="Tahoma"/>
            <family val="2"/>
          </rPr>
          <t>The Head Box/Rail 
Colours are;
Default
Beige
Black
Dark Brown
Grey
Ivory
Light Brown
White</t>
        </r>
      </text>
    </comment>
    <comment ref="M12" authorId="0" shapeId="0" xr:uid="{00000000-0006-0000-0800-00005A00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12" authorId="0" shapeId="0" xr:uid="{00000000-0006-0000-0800-00005B000000}">
      <text>
        <r>
          <rPr>
            <sz val="8"/>
            <color indexed="81"/>
            <rFont val="Tahoma"/>
            <family val="2"/>
          </rPr>
          <t>The Control 
options are;
Left
Right</t>
        </r>
      </text>
    </comment>
    <comment ref="O12" authorId="0" shapeId="0" xr:uid="{00000000-0006-0000-0800-00005C000000}">
      <text>
        <r>
          <rPr>
            <sz val="8"/>
            <color indexed="81"/>
            <rFont val="Tahoma"/>
            <family val="2"/>
          </rPr>
          <t>The Chain Length 
options are; 
Default
500mm
750mm
1000mm
1250mm
1500mm
2000mm</t>
        </r>
      </text>
    </comment>
    <comment ref="P12" authorId="0" shapeId="0" xr:uid="{00000000-0006-0000-0800-00005D000000}">
      <text>
        <r>
          <rPr>
            <sz val="8"/>
            <color indexed="81"/>
            <rFont val="Tahoma"/>
            <family val="2"/>
          </rPr>
          <t>The Chain Colour 
options are;
Default
Stainless Steel
If Default is selected 
then the Chain Colour 
will be matched to the 
Head Box Colour.</t>
        </r>
      </text>
    </comment>
    <comment ref="Q12" authorId="0" shapeId="0" xr:uid="{00000000-0006-0000-0800-00005E000000}">
      <text>
        <r>
          <rPr>
            <sz val="8"/>
            <color indexed="81"/>
            <rFont val="Tahoma"/>
            <family val="2"/>
          </rPr>
          <t>For Multi Shade, 
Roman Shade and
Triple Shade,  
the  Fabric Insert  
options are;
No
Yes</t>
        </r>
      </text>
    </comment>
    <comment ref="R12" authorId="0" shapeId="0" xr:uid="{00000000-0006-0000-0800-00005F000000}">
      <text>
        <r>
          <rPr>
            <sz val="8"/>
            <color indexed="81"/>
            <rFont val="Tahoma"/>
            <family val="2"/>
          </rPr>
          <t>For Multi Shade, 
the options are;
Standard
Over Roll
For Roman Shade, 
the options are;
Over Roll
For Triple Shade, 
the options are;
Standard</t>
        </r>
      </text>
    </comment>
    <comment ref="T12" authorId="0" shapeId="0" xr:uid="{00000000-0006-0000-0800-000060000000}">
      <text>
        <r>
          <rPr>
            <sz val="8"/>
            <color indexed="81"/>
            <rFont val="Tahoma"/>
            <family val="2"/>
          </rPr>
          <t>Please use this section 
to specify 
any Special Requirements
for the Line/Order.</t>
        </r>
      </text>
    </comment>
    <comment ref="D13" authorId="0" shapeId="0" xr:uid="{00000000-0006-0000-0800-000061000000}">
      <text>
        <r>
          <rPr>
            <sz val="8"/>
            <color indexed="81"/>
            <rFont val="Tahoma"/>
            <family val="2"/>
          </rPr>
          <t>The Products options are;
Multi Shade
Roman Shade
Triple Shade</t>
        </r>
      </text>
    </comment>
    <comment ref="E13" authorId="0" shapeId="0" xr:uid="{00000000-0006-0000-0800-00006200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13" authorId="0" shapeId="0" xr:uid="{00000000-0006-0000-0800-000063000000}">
      <text>
        <r>
          <rPr>
            <sz val="8"/>
            <color indexed="81"/>
            <rFont val="Tahoma"/>
            <family val="2"/>
          </rPr>
          <t>The Colour can only be selected 
once the Product Type &amp; Finish has 
been entered.
Please refer to the Swatches.</t>
        </r>
      </text>
    </comment>
    <comment ref="G13" authorId="0" shapeId="0" xr:uid="{00000000-0006-0000-0800-00006400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3" authorId="0" shapeId="0" xr:uid="{00000000-0006-0000-0800-000065000000}">
      <text>
        <r>
          <rPr>
            <sz val="8"/>
            <color indexed="81"/>
            <rFont val="Tahoma"/>
            <family val="2"/>
          </rPr>
          <t xml:space="preserve">The Minimum Height/Drop is 300mm.
For the Multi Shade, 
Roman Shade &amp; 
Triple Shade options 
the Maximum Drop is 3000mm. </t>
        </r>
      </text>
    </comment>
    <comment ref="I13" authorId="0" shapeId="0" xr:uid="{00000000-0006-0000-0800-000066000000}">
      <text>
        <r>
          <rPr>
            <sz val="8"/>
            <color indexed="81"/>
            <rFont val="Tahoma"/>
            <family val="2"/>
          </rPr>
          <t>The Window Type 
options are;
Standard
Side By Side</t>
        </r>
      </text>
    </comment>
    <comment ref="J13" authorId="0" shapeId="0" xr:uid="{00000000-0006-0000-0800-000067000000}">
      <text>
        <r>
          <rPr>
            <sz val="8"/>
            <color indexed="81"/>
            <rFont val="Tahoma"/>
            <family val="2"/>
          </rPr>
          <t>The Fitting options are;
Face Fit
Recess Fit</t>
        </r>
      </text>
    </comment>
    <comment ref="K13" authorId="0" shapeId="0" xr:uid="{00000000-0006-0000-0800-00006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3" authorId="0" shapeId="0" xr:uid="{00000000-0006-0000-0800-000069000000}">
      <text>
        <r>
          <rPr>
            <sz val="8"/>
            <color indexed="81"/>
            <rFont val="Tahoma"/>
            <family val="2"/>
          </rPr>
          <t>The Head Box/Rail 
Colours are;
Default
Beige
Black
Dark Brown
Grey
Ivory
Light Brown
White</t>
        </r>
      </text>
    </comment>
    <comment ref="M13" authorId="0" shapeId="0" xr:uid="{00000000-0006-0000-0800-00006A00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13" authorId="0" shapeId="0" xr:uid="{00000000-0006-0000-0800-00006B000000}">
      <text>
        <r>
          <rPr>
            <sz val="8"/>
            <color indexed="81"/>
            <rFont val="Tahoma"/>
            <family val="2"/>
          </rPr>
          <t>The Control 
options are;
Left
Right</t>
        </r>
      </text>
    </comment>
    <comment ref="O13" authorId="0" shapeId="0" xr:uid="{00000000-0006-0000-0800-00006C000000}">
      <text>
        <r>
          <rPr>
            <sz val="8"/>
            <color indexed="81"/>
            <rFont val="Tahoma"/>
            <family val="2"/>
          </rPr>
          <t>The Chain Length 
options are; 
Default
500mm
750mm
1000mm
1250mm
1500mm
2000mm</t>
        </r>
      </text>
    </comment>
    <comment ref="P13" authorId="0" shapeId="0" xr:uid="{00000000-0006-0000-0800-00006D000000}">
      <text>
        <r>
          <rPr>
            <sz val="8"/>
            <color indexed="81"/>
            <rFont val="Tahoma"/>
            <family val="2"/>
          </rPr>
          <t>The Chain Colour 
options are;
Default
Stainless Steel
If Default is selected 
then the Chain Colour 
will be matched to the 
Head Box Colour.</t>
        </r>
      </text>
    </comment>
    <comment ref="Q13" authorId="0" shapeId="0" xr:uid="{00000000-0006-0000-0800-00006E000000}">
      <text>
        <r>
          <rPr>
            <sz val="8"/>
            <color indexed="81"/>
            <rFont val="Tahoma"/>
            <family val="2"/>
          </rPr>
          <t>For Multi Shade, 
Roman Shade and
Triple Shade,  
the  Fabric Insert  
options are;
No
Yes</t>
        </r>
      </text>
    </comment>
    <comment ref="R13" authorId="0" shapeId="0" xr:uid="{00000000-0006-0000-0800-00006F000000}">
      <text>
        <r>
          <rPr>
            <sz val="8"/>
            <color indexed="81"/>
            <rFont val="Tahoma"/>
            <family val="2"/>
          </rPr>
          <t>For Multi Shade, 
the options are;
Standard
Over Roll
For Roman Shade, 
the options are;
Over Roll
For Triple Shade, 
the options are;
Standard</t>
        </r>
      </text>
    </comment>
    <comment ref="T13" authorId="0" shapeId="0" xr:uid="{00000000-0006-0000-0800-000070000000}">
      <text>
        <r>
          <rPr>
            <sz val="8"/>
            <color indexed="81"/>
            <rFont val="Tahoma"/>
            <family val="2"/>
          </rPr>
          <t>Please use this section 
to specify 
any Special Requirements
for the Line/Order.</t>
        </r>
      </text>
    </comment>
    <comment ref="D14" authorId="0" shapeId="0" xr:uid="{00000000-0006-0000-0800-000071000000}">
      <text>
        <r>
          <rPr>
            <sz val="8"/>
            <color indexed="81"/>
            <rFont val="Tahoma"/>
            <family val="2"/>
          </rPr>
          <t>The Products options are;
Multi Shade
Roman Shade
Triple Shade</t>
        </r>
      </text>
    </comment>
    <comment ref="E14" authorId="0" shapeId="0" xr:uid="{00000000-0006-0000-0800-00007200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14" authorId="0" shapeId="0" xr:uid="{00000000-0006-0000-0800-000073000000}">
      <text>
        <r>
          <rPr>
            <sz val="8"/>
            <color indexed="81"/>
            <rFont val="Tahoma"/>
            <family val="2"/>
          </rPr>
          <t>The Colour can only be selected 
once the Product Type &amp; Finish has 
been entered.
Please refer to the Swatches.</t>
        </r>
      </text>
    </comment>
    <comment ref="G14" authorId="0" shapeId="0" xr:uid="{00000000-0006-0000-0800-00007400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4" authorId="0" shapeId="0" xr:uid="{00000000-0006-0000-0800-000075000000}">
      <text>
        <r>
          <rPr>
            <sz val="8"/>
            <color indexed="81"/>
            <rFont val="Tahoma"/>
            <family val="2"/>
          </rPr>
          <t xml:space="preserve">The Minimum Height/Drop is 300mm.
For the Multi Shade, 
Roman Shade &amp; 
Triple Shade options 
the Maximum Drop is 3000mm. </t>
        </r>
      </text>
    </comment>
    <comment ref="I14" authorId="0" shapeId="0" xr:uid="{00000000-0006-0000-0800-000076000000}">
      <text>
        <r>
          <rPr>
            <sz val="8"/>
            <color indexed="81"/>
            <rFont val="Tahoma"/>
            <family val="2"/>
          </rPr>
          <t>The Window Type 
options are;
Standard
Side By Side</t>
        </r>
      </text>
    </comment>
    <comment ref="J14" authorId="0" shapeId="0" xr:uid="{00000000-0006-0000-0800-000077000000}">
      <text>
        <r>
          <rPr>
            <sz val="8"/>
            <color indexed="81"/>
            <rFont val="Tahoma"/>
            <family val="2"/>
          </rPr>
          <t>The Fitting options are;
Face Fit
Recess Fit</t>
        </r>
      </text>
    </comment>
    <comment ref="K14" authorId="0" shapeId="0" xr:uid="{00000000-0006-0000-0800-00007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4" authorId="0" shapeId="0" xr:uid="{00000000-0006-0000-0800-000079000000}">
      <text>
        <r>
          <rPr>
            <sz val="8"/>
            <color indexed="81"/>
            <rFont val="Tahoma"/>
            <family val="2"/>
          </rPr>
          <t>The Head Box/Rail 
Colours are;
Default
Beige
Black
Dark Brown
Grey
Ivory
Light Brown
White</t>
        </r>
      </text>
    </comment>
    <comment ref="M14" authorId="0" shapeId="0" xr:uid="{00000000-0006-0000-0800-00007A00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14" authorId="0" shapeId="0" xr:uid="{00000000-0006-0000-0800-00007B000000}">
      <text>
        <r>
          <rPr>
            <sz val="8"/>
            <color indexed="81"/>
            <rFont val="Tahoma"/>
            <family val="2"/>
          </rPr>
          <t>The Control 
options are;
Left
Right</t>
        </r>
      </text>
    </comment>
    <comment ref="O14" authorId="0" shapeId="0" xr:uid="{00000000-0006-0000-0800-00007C000000}">
      <text>
        <r>
          <rPr>
            <sz val="8"/>
            <color indexed="81"/>
            <rFont val="Tahoma"/>
            <family val="2"/>
          </rPr>
          <t>The Chain Length 
options are; 
Default
500mm
750mm
1000mm
1250mm
1500mm
2000mm</t>
        </r>
      </text>
    </comment>
    <comment ref="P14" authorId="0" shapeId="0" xr:uid="{00000000-0006-0000-0800-00007D000000}">
      <text>
        <r>
          <rPr>
            <sz val="8"/>
            <color indexed="81"/>
            <rFont val="Tahoma"/>
            <family val="2"/>
          </rPr>
          <t>The Chain Colour 
options are;
Default
Stainless Steel
If Default is selected 
then the Chain Colour 
will be matched to the 
Head Box Colour.</t>
        </r>
      </text>
    </comment>
    <comment ref="Q14" authorId="0" shapeId="0" xr:uid="{00000000-0006-0000-0800-00007E000000}">
      <text>
        <r>
          <rPr>
            <sz val="8"/>
            <color indexed="81"/>
            <rFont val="Tahoma"/>
            <family val="2"/>
          </rPr>
          <t>For Multi Shade, 
Roman Shade and
Triple Shade,  
the  Fabric Insert  
options are;
No
Yes</t>
        </r>
      </text>
    </comment>
    <comment ref="R14" authorId="0" shapeId="0" xr:uid="{00000000-0006-0000-0800-00007F000000}">
      <text>
        <r>
          <rPr>
            <sz val="8"/>
            <color indexed="81"/>
            <rFont val="Tahoma"/>
            <family val="2"/>
          </rPr>
          <t>For Multi Shade, 
the options are;
Standard
Over Roll
For Roman Shade, 
the options are;
Over Roll
For Triple Shade, 
the options are;
Standard</t>
        </r>
      </text>
    </comment>
    <comment ref="T14" authorId="0" shapeId="0" xr:uid="{00000000-0006-0000-0800-000080000000}">
      <text>
        <r>
          <rPr>
            <sz val="8"/>
            <color indexed="81"/>
            <rFont val="Tahoma"/>
            <family val="2"/>
          </rPr>
          <t>Please use this section 
to specify 
any Special Requirements
for the Line/Order.</t>
        </r>
      </text>
    </comment>
    <comment ref="D15" authorId="0" shapeId="0" xr:uid="{00000000-0006-0000-0800-000081000000}">
      <text>
        <r>
          <rPr>
            <sz val="8"/>
            <color indexed="81"/>
            <rFont val="Tahoma"/>
            <family val="2"/>
          </rPr>
          <t>The Products options are;
Multi Shade
Roman Shade
Triple Shade</t>
        </r>
      </text>
    </comment>
    <comment ref="E15" authorId="0" shapeId="0" xr:uid="{00000000-0006-0000-0800-00008200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15" authorId="0" shapeId="0" xr:uid="{00000000-0006-0000-0800-000083000000}">
      <text>
        <r>
          <rPr>
            <sz val="8"/>
            <color indexed="81"/>
            <rFont val="Tahoma"/>
            <family val="2"/>
          </rPr>
          <t>The Colour can only be selected 
once the Product Type &amp; Finish has 
been entered.
Please refer to the Swatches.</t>
        </r>
      </text>
    </comment>
    <comment ref="G15" authorId="0" shapeId="0" xr:uid="{00000000-0006-0000-0800-00008400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5" authorId="0" shapeId="0" xr:uid="{00000000-0006-0000-0800-000085000000}">
      <text>
        <r>
          <rPr>
            <sz val="8"/>
            <color indexed="81"/>
            <rFont val="Tahoma"/>
            <family val="2"/>
          </rPr>
          <t xml:space="preserve">The Minimum Height/Drop is 300mm.
For the Multi Shade, 
Roman Shade &amp; 
Triple Shade options 
the Maximum Drop is 3000mm. </t>
        </r>
      </text>
    </comment>
    <comment ref="I15" authorId="0" shapeId="0" xr:uid="{00000000-0006-0000-0800-000086000000}">
      <text>
        <r>
          <rPr>
            <sz val="8"/>
            <color indexed="81"/>
            <rFont val="Tahoma"/>
            <family val="2"/>
          </rPr>
          <t>The Window Type 
options are;
Standard
Side By Side</t>
        </r>
      </text>
    </comment>
    <comment ref="J15" authorId="0" shapeId="0" xr:uid="{00000000-0006-0000-0800-000087000000}">
      <text>
        <r>
          <rPr>
            <sz val="8"/>
            <color indexed="81"/>
            <rFont val="Tahoma"/>
            <family val="2"/>
          </rPr>
          <t>The Fitting options are;
Face Fit
Recess Fit</t>
        </r>
      </text>
    </comment>
    <comment ref="K15" authorId="0" shapeId="0" xr:uid="{00000000-0006-0000-0800-00008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5" authorId="0" shapeId="0" xr:uid="{00000000-0006-0000-0800-000089000000}">
      <text>
        <r>
          <rPr>
            <sz val="8"/>
            <color indexed="81"/>
            <rFont val="Tahoma"/>
            <family val="2"/>
          </rPr>
          <t>The Head Box/Rail 
Colours are;
Default
Beige
Black
Dark Brown
Grey
Ivory
Light Brown
White</t>
        </r>
      </text>
    </comment>
    <comment ref="M15" authorId="0" shapeId="0" xr:uid="{00000000-0006-0000-0800-00008A00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15" authorId="0" shapeId="0" xr:uid="{00000000-0006-0000-0800-00008B000000}">
      <text>
        <r>
          <rPr>
            <sz val="8"/>
            <color indexed="81"/>
            <rFont val="Tahoma"/>
            <family val="2"/>
          </rPr>
          <t>The Control 
options are;
Left
Right</t>
        </r>
      </text>
    </comment>
    <comment ref="O15" authorId="0" shapeId="0" xr:uid="{00000000-0006-0000-0800-00008C000000}">
      <text>
        <r>
          <rPr>
            <sz val="8"/>
            <color indexed="81"/>
            <rFont val="Tahoma"/>
            <family val="2"/>
          </rPr>
          <t>The Chain Length 
options are; 
Default
500mm
750mm
1000mm
1250mm
1500mm
2000mm</t>
        </r>
      </text>
    </comment>
    <comment ref="P15" authorId="0" shapeId="0" xr:uid="{00000000-0006-0000-0800-00008D000000}">
      <text>
        <r>
          <rPr>
            <sz val="8"/>
            <color indexed="81"/>
            <rFont val="Tahoma"/>
            <family val="2"/>
          </rPr>
          <t>The Chain Colour 
options are;
Default
Stainless Steel
If Default is selected 
then the Chain Colour 
will be matched to the 
Head Box Colour.</t>
        </r>
      </text>
    </comment>
    <comment ref="Q15" authorId="0" shapeId="0" xr:uid="{00000000-0006-0000-0800-00008E000000}">
      <text>
        <r>
          <rPr>
            <sz val="8"/>
            <color indexed="81"/>
            <rFont val="Tahoma"/>
            <family val="2"/>
          </rPr>
          <t>For Multi Shade, 
Roman Shade and
Triple Shade,  
the  Fabric Insert  
options are;
No
Yes</t>
        </r>
      </text>
    </comment>
    <comment ref="R15" authorId="0" shapeId="0" xr:uid="{00000000-0006-0000-0800-00008F000000}">
      <text>
        <r>
          <rPr>
            <sz val="8"/>
            <color indexed="81"/>
            <rFont val="Tahoma"/>
            <family val="2"/>
          </rPr>
          <t>For Multi Shade, 
the options are;
Standard
Over Roll
For Roman Shade, 
the options are;
Over Roll
For Triple Shade, 
the options are;
Standard</t>
        </r>
      </text>
    </comment>
    <comment ref="T15" authorId="0" shapeId="0" xr:uid="{00000000-0006-0000-0800-000090000000}">
      <text>
        <r>
          <rPr>
            <sz val="8"/>
            <color indexed="81"/>
            <rFont val="Tahoma"/>
            <family val="2"/>
          </rPr>
          <t>Please use this section 
to specify 
any Special Requirements
for the Line/Order.</t>
        </r>
      </text>
    </comment>
    <comment ref="D16" authorId="0" shapeId="0" xr:uid="{00000000-0006-0000-0800-000091000000}">
      <text>
        <r>
          <rPr>
            <sz val="8"/>
            <color indexed="81"/>
            <rFont val="Tahoma"/>
            <family val="2"/>
          </rPr>
          <t>The Products options are;
Multi Shade
Roman Shade
Triple Shade</t>
        </r>
      </text>
    </comment>
    <comment ref="E16" authorId="0" shapeId="0" xr:uid="{00000000-0006-0000-0800-00009200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16" authorId="0" shapeId="0" xr:uid="{00000000-0006-0000-0800-000093000000}">
      <text>
        <r>
          <rPr>
            <sz val="8"/>
            <color indexed="81"/>
            <rFont val="Tahoma"/>
            <family val="2"/>
          </rPr>
          <t>The Colour can only be selected 
once the Product Type &amp; Finish has 
been entered.
Please refer to the Swatches.</t>
        </r>
      </text>
    </comment>
    <comment ref="G16" authorId="0" shapeId="0" xr:uid="{00000000-0006-0000-0800-00009400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6" authorId="0" shapeId="0" xr:uid="{00000000-0006-0000-0800-000095000000}">
      <text>
        <r>
          <rPr>
            <sz val="8"/>
            <color indexed="81"/>
            <rFont val="Tahoma"/>
            <family val="2"/>
          </rPr>
          <t xml:space="preserve">The Minimum Height/Drop is 300mm.
For the Multi Shade, 
Roman Shade &amp; 
Triple Shade options 
the Maximum Drop is 3000mm. </t>
        </r>
      </text>
    </comment>
    <comment ref="I16" authorId="0" shapeId="0" xr:uid="{00000000-0006-0000-0800-000096000000}">
      <text>
        <r>
          <rPr>
            <sz val="8"/>
            <color indexed="81"/>
            <rFont val="Tahoma"/>
            <family val="2"/>
          </rPr>
          <t>The Window Type 
options are;
Standard
Side By Side</t>
        </r>
      </text>
    </comment>
    <comment ref="J16" authorId="0" shapeId="0" xr:uid="{00000000-0006-0000-0800-000097000000}">
      <text>
        <r>
          <rPr>
            <sz val="8"/>
            <color indexed="81"/>
            <rFont val="Tahoma"/>
            <family val="2"/>
          </rPr>
          <t>The Fitting options are;
Face Fit
Recess Fit</t>
        </r>
      </text>
    </comment>
    <comment ref="K16" authorId="0" shapeId="0" xr:uid="{00000000-0006-0000-0800-00009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6" authorId="0" shapeId="0" xr:uid="{00000000-0006-0000-0800-000099000000}">
      <text>
        <r>
          <rPr>
            <sz val="8"/>
            <color indexed="81"/>
            <rFont val="Tahoma"/>
            <family val="2"/>
          </rPr>
          <t>The Head Box/Rail 
Colours are;
Default
Beige
Black
Dark Brown
Grey
Ivory
Light Brown
White</t>
        </r>
      </text>
    </comment>
    <comment ref="M16" authorId="0" shapeId="0" xr:uid="{00000000-0006-0000-0800-00009A00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16" authorId="0" shapeId="0" xr:uid="{00000000-0006-0000-0800-00009B000000}">
      <text>
        <r>
          <rPr>
            <sz val="8"/>
            <color indexed="81"/>
            <rFont val="Tahoma"/>
            <family val="2"/>
          </rPr>
          <t>The Control 
options are;
Left
Right</t>
        </r>
      </text>
    </comment>
    <comment ref="O16" authorId="0" shapeId="0" xr:uid="{00000000-0006-0000-0800-00009C000000}">
      <text>
        <r>
          <rPr>
            <sz val="8"/>
            <color indexed="81"/>
            <rFont val="Tahoma"/>
            <family val="2"/>
          </rPr>
          <t>The Chain Length 
options are; 
Default
500mm
750mm
1000mm
1250mm
1500mm
2000mm</t>
        </r>
      </text>
    </comment>
    <comment ref="P16" authorId="0" shapeId="0" xr:uid="{00000000-0006-0000-0800-00009D000000}">
      <text>
        <r>
          <rPr>
            <sz val="8"/>
            <color indexed="81"/>
            <rFont val="Tahoma"/>
            <family val="2"/>
          </rPr>
          <t>The Chain Colour 
options are;
Default
Stainless Steel
If Default is selected 
then the Chain Colour 
will be matched to the 
Head Box Colour.</t>
        </r>
      </text>
    </comment>
    <comment ref="Q16" authorId="0" shapeId="0" xr:uid="{00000000-0006-0000-0800-00009E000000}">
      <text>
        <r>
          <rPr>
            <sz val="8"/>
            <color indexed="81"/>
            <rFont val="Tahoma"/>
            <family val="2"/>
          </rPr>
          <t>For Multi Shade, 
Roman Shade and
Triple Shade,  
the  Fabric Insert  
options are;
No
Yes</t>
        </r>
      </text>
    </comment>
    <comment ref="R16" authorId="0" shapeId="0" xr:uid="{00000000-0006-0000-0800-00009F000000}">
      <text>
        <r>
          <rPr>
            <sz val="8"/>
            <color indexed="81"/>
            <rFont val="Tahoma"/>
            <family val="2"/>
          </rPr>
          <t>For Multi Shade, 
the options are;
Standard
Over Roll
For Roman Shade, 
the options are;
Over Roll
For Triple Shade, 
the options are;
Standard</t>
        </r>
      </text>
    </comment>
    <comment ref="T16" authorId="0" shapeId="0" xr:uid="{00000000-0006-0000-0800-0000A0000000}">
      <text>
        <r>
          <rPr>
            <sz val="8"/>
            <color indexed="81"/>
            <rFont val="Tahoma"/>
            <family val="2"/>
          </rPr>
          <t>Please use this section 
to specify 
any Special Requirements
for the Line/Order.</t>
        </r>
      </text>
    </comment>
    <comment ref="D17" authorId="0" shapeId="0" xr:uid="{00000000-0006-0000-0800-0000A1000000}">
      <text>
        <r>
          <rPr>
            <sz val="8"/>
            <color indexed="81"/>
            <rFont val="Tahoma"/>
            <family val="2"/>
          </rPr>
          <t>The Products options are;
Multi Shade
Roman Shade
Triple Shade</t>
        </r>
      </text>
    </comment>
    <comment ref="E17" authorId="0" shapeId="0" xr:uid="{00000000-0006-0000-0800-0000A200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17" authorId="0" shapeId="0" xr:uid="{00000000-0006-0000-0800-0000A3000000}">
      <text>
        <r>
          <rPr>
            <sz val="8"/>
            <color indexed="81"/>
            <rFont val="Tahoma"/>
            <family val="2"/>
          </rPr>
          <t>The Colour can only be selected 
once the Product Type &amp; Finish has 
been entered.
Please refer to the Swatches.</t>
        </r>
      </text>
    </comment>
    <comment ref="G17" authorId="0" shapeId="0" xr:uid="{00000000-0006-0000-0800-0000A400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7" authorId="0" shapeId="0" xr:uid="{00000000-0006-0000-0800-0000A5000000}">
      <text>
        <r>
          <rPr>
            <sz val="8"/>
            <color indexed="81"/>
            <rFont val="Tahoma"/>
            <family val="2"/>
          </rPr>
          <t xml:space="preserve">The Minimum Height/Drop is 300mm.
For the Multi Shade, 
Roman Shade &amp; 
Triple Shade options 
the Maximum Drop is 3000mm. </t>
        </r>
      </text>
    </comment>
    <comment ref="I17" authorId="0" shapeId="0" xr:uid="{00000000-0006-0000-0800-0000A6000000}">
      <text>
        <r>
          <rPr>
            <sz val="8"/>
            <color indexed="81"/>
            <rFont val="Tahoma"/>
            <family val="2"/>
          </rPr>
          <t>The Window Type 
options are;
Standard
Side By Side</t>
        </r>
      </text>
    </comment>
    <comment ref="J17" authorId="0" shapeId="0" xr:uid="{00000000-0006-0000-0800-0000A7000000}">
      <text>
        <r>
          <rPr>
            <sz val="8"/>
            <color indexed="81"/>
            <rFont val="Tahoma"/>
            <family val="2"/>
          </rPr>
          <t>The Fitting options are;
Face Fit
Recess Fit</t>
        </r>
      </text>
    </comment>
    <comment ref="K17" authorId="0" shapeId="0" xr:uid="{00000000-0006-0000-0800-0000A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7" authorId="0" shapeId="0" xr:uid="{00000000-0006-0000-0800-0000A9000000}">
      <text>
        <r>
          <rPr>
            <sz val="8"/>
            <color indexed="81"/>
            <rFont val="Tahoma"/>
            <family val="2"/>
          </rPr>
          <t>The Head Box/Rail 
Colours are;
Default
Beige
Black
Dark Brown
Grey
Ivory
Light Brown
White</t>
        </r>
      </text>
    </comment>
    <comment ref="M17" authorId="0" shapeId="0" xr:uid="{00000000-0006-0000-0800-0000AA00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17" authorId="0" shapeId="0" xr:uid="{00000000-0006-0000-0800-0000AB000000}">
      <text>
        <r>
          <rPr>
            <sz val="8"/>
            <color indexed="81"/>
            <rFont val="Tahoma"/>
            <family val="2"/>
          </rPr>
          <t>The Control 
options are;
Left
Right</t>
        </r>
      </text>
    </comment>
    <comment ref="O17" authorId="0" shapeId="0" xr:uid="{00000000-0006-0000-0800-0000AC000000}">
      <text>
        <r>
          <rPr>
            <sz val="8"/>
            <color indexed="81"/>
            <rFont val="Tahoma"/>
            <family val="2"/>
          </rPr>
          <t>The Chain Length 
options are; 
Default
500mm
750mm
1000mm
1250mm
1500mm
2000mm</t>
        </r>
      </text>
    </comment>
    <comment ref="P17" authorId="0" shapeId="0" xr:uid="{00000000-0006-0000-0800-0000AD000000}">
      <text>
        <r>
          <rPr>
            <sz val="8"/>
            <color indexed="81"/>
            <rFont val="Tahoma"/>
            <family val="2"/>
          </rPr>
          <t>The Chain Colour 
options are;
Default
Stainless Steel
If Default is selected 
then the Chain Colour 
will be matched to the 
Head Box Colour.</t>
        </r>
      </text>
    </comment>
    <comment ref="Q17" authorId="0" shapeId="0" xr:uid="{00000000-0006-0000-0800-0000AE000000}">
      <text>
        <r>
          <rPr>
            <sz val="8"/>
            <color indexed="81"/>
            <rFont val="Tahoma"/>
            <family val="2"/>
          </rPr>
          <t>For Multi Shade, 
Roman Shade and
Triple Shade,  
the  Fabric Insert  
options are;
No
Yes</t>
        </r>
      </text>
    </comment>
    <comment ref="R17" authorId="0" shapeId="0" xr:uid="{00000000-0006-0000-0800-0000AF000000}">
      <text>
        <r>
          <rPr>
            <sz val="8"/>
            <color indexed="81"/>
            <rFont val="Tahoma"/>
            <family val="2"/>
          </rPr>
          <t>For Multi Shade, 
the options are;
Standard
Over Roll
For Roman Shade, 
the options are;
Over Roll
For Triple Shade, 
the options are;
Standard</t>
        </r>
      </text>
    </comment>
    <comment ref="T17" authorId="0" shapeId="0" xr:uid="{00000000-0006-0000-0800-0000B0000000}">
      <text>
        <r>
          <rPr>
            <sz val="8"/>
            <color indexed="81"/>
            <rFont val="Tahoma"/>
            <family val="2"/>
          </rPr>
          <t>Please use this section 
to specify 
any Special Requirements
for the Line/Order.</t>
        </r>
      </text>
    </comment>
    <comment ref="D18" authorId="0" shapeId="0" xr:uid="{00000000-0006-0000-0800-0000B1000000}">
      <text>
        <r>
          <rPr>
            <sz val="8"/>
            <color indexed="81"/>
            <rFont val="Tahoma"/>
            <family val="2"/>
          </rPr>
          <t>The Products options are;
Multi Shade
Roman Shade
Triple Shade</t>
        </r>
      </text>
    </comment>
    <comment ref="E18" authorId="0" shapeId="0" xr:uid="{00000000-0006-0000-0800-0000B200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18" authorId="0" shapeId="0" xr:uid="{00000000-0006-0000-0800-0000B3000000}">
      <text>
        <r>
          <rPr>
            <sz val="8"/>
            <color indexed="81"/>
            <rFont val="Tahoma"/>
            <family val="2"/>
          </rPr>
          <t>The Colour can only be selected 
once the Product Type &amp; Finish has 
been entered.
Please refer to the Swatches.</t>
        </r>
      </text>
    </comment>
    <comment ref="G18" authorId="0" shapeId="0" xr:uid="{00000000-0006-0000-0800-0000B400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8" authorId="0" shapeId="0" xr:uid="{00000000-0006-0000-0800-0000B5000000}">
      <text>
        <r>
          <rPr>
            <sz val="8"/>
            <color indexed="81"/>
            <rFont val="Tahoma"/>
            <family val="2"/>
          </rPr>
          <t xml:space="preserve">The Minimum Height/Drop is 300mm.
For the Multi Shade, 
Roman Shade &amp; 
Triple Shade options 
the Maximum Drop is 3000mm. </t>
        </r>
      </text>
    </comment>
    <comment ref="I18" authorId="0" shapeId="0" xr:uid="{00000000-0006-0000-0800-0000B6000000}">
      <text>
        <r>
          <rPr>
            <sz val="8"/>
            <color indexed="81"/>
            <rFont val="Tahoma"/>
            <family val="2"/>
          </rPr>
          <t>The Window Type 
options are;
Standard
Side By Side</t>
        </r>
      </text>
    </comment>
    <comment ref="J18" authorId="0" shapeId="0" xr:uid="{00000000-0006-0000-0800-0000B7000000}">
      <text>
        <r>
          <rPr>
            <sz val="8"/>
            <color indexed="81"/>
            <rFont val="Tahoma"/>
            <family val="2"/>
          </rPr>
          <t>The Fitting options are;
Face Fit
Recess Fit</t>
        </r>
      </text>
    </comment>
    <comment ref="K18" authorId="0" shapeId="0" xr:uid="{00000000-0006-0000-0800-0000B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8" authorId="0" shapeId="0" xr:uid="{00000000-0006-0000-0800-0000B9000000}">
      <text>
        <r>
          <rPr>
            <sz val="8"/>
            <color indexed="81"/>
            <rFont val="Tahoma"/>
            <family val="2"/>
          </rPr>
          <t>The Head Box/Rail 
Colours are;
Default
Beige
Black
Dark Brown
Grey
Ivory
Light Brown
White</t>
        </r>
      </text>
    </comment>
    <comment ref="M18" authorId="0" shapeId="0" xr:uid="{00000000-0006-0000-0800-0000BA00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18" authorId="0" shapeId="0" xr:uid="{00000000-0006-0000-0800-0000BB000000}">
      <text>
        <r>
          <rPr>
            <sz val="8"/>
            <color indexed="81"/>
            <rFont val="Tahoma"/>
            <family val="2"/>
          </rPr>
          <t>The Control 
options are;
Left
Right</t>
        </r>
      </text>
    </comment>
    <comment ref="O18" authorId="0" shapeId="0" xr:uid="{00000000-0006-0000-0800-0000BC000000}">
      <text>
        <r>
          <rPr>
            <sz val="8"/>
            <color indexed="81"/>
            <rFont val="Tahoma"/>
            <family val="2"/>
          </rPr>
          <t>The Chain Length 
options are; 
Default
500mm
750mm
1000mm
1250mm
1500mm
2000mm</t>
        </r>
      </text>
    </comment>
    <comment ref="P18" authorId="0" shapeId="0" xr:uid="{00000000-0006-0000-0800-0000BD000000}">
      <text>
        <r>
          <rPr>
            <sz val="8"/>
            <color indexed="81"/>
            <rFont val="Tahoma"/>
            <family val="2"/>
          </rPr>
          <t>The Chain Colour 
options are;
Default
Stainless Steel
If Default is selected 
then the Chain Colour 
will be matched to the 
Head Box Colour.</t>
        </r>
      </text>
    </comment>
    <comment ref="Q18" authorId="0" shapeId="0" xr:uid="{00000000-0006-0000-0800-0000BE000000}">
      <text>
        <r>
          <rPr>
            <sz val="8"/>
            <color indexed="81"/>
            <rFont val="Tahoma"/>
            <family val="2"/>
          </rPr>
          <t>For Multi Shade, 
Roman Shade and
Triple Shade,  
the  Fabric Insert  
options are;
No
Yes</t>
        </r>
      </text>
    </comment>
    <comment ref="R18" authorId="0" shapeId="0" xr:uid="{00000000-0006-0000-0800-0000BF000000}">
      <text>
        <r>
          <rPr>
            <sz val="8"/>
            <color indexed="81"/>
            <rFont val="Tahoma"/>
            <family val="2"/>
          </rPr>
          <t>For Multi Shade, 
the options are;
Standard
Over Roll
For Roman Shade, 
the options are;
Over Roll
For Triple Shade, 
the options are;
Standard</t>
        </r>
      </text>
    </comment>
    <comment ref="T18" authorId="0" shapeId="0" xr:uid="{00000000-0006-0000-0800-0000C0000000}">
      <text>
        <r>
          <rPr>
            <sz val="8"/>
            <color indexed="81"/>
            <rFont val="Tahoma"/>
            <family val="2"/>
          </rPr>
          <t>Please use this section 
to specify 
any Special Requirements
for the Line/Order.</t>
        </r>
      </text>
    </comment>
    <comment ref="D19" authorId="0" shapeId="0" xr:uid="{00000000-0006-0000-0800-0000C1000000}">
      <text>
        <r>
          <rPr>
            <sz val="8"/>
            <color indexed="81"/>
            <rFont val="Tahoma"/>
            <family val="2"/>
          </rPr>
          <t>The Products options are;
Multi Shade
Roman Shade
Triple Shade</t>
        </r>
      </text>
    </comment>
    <comment ref="E19" authorId="0" shapeId="0" xr:uid="{00000000-0006-0000-0800-0000C200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19" authorId="0" shapeId="0" xr:uid="{00000000-0006-0000-0800-0000C3000000}">
      <text>
        <r>
          <rPr>
            <sz val="8"/>
            <color indexed="81"/>
            <rFont val="Tahoma"/>
            <family val="2"/>
          </rPr>
          <t>The Colour can only be selected 
once the Product Type &amp; Finish has 
been entered.
Please refer to the Swatches.</t>
        </r>
      </text>
    </comment>
    <comment ref="G19" authorId="0" shapeId="0" xr:uid="{00000000-0006-0000-0800-0000C400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9" authorId="0" shapeId="0" xr:uid="{00000000-0006-0000-0800-0000C5000000}">
      <text>
        <r>
          <rPr>
            <sz val="8"/>
            <color indexed="81"/>
            <rFont val="Tahoma"/>
            <family val="2"/>
          </rPr>
          <t xml:space="preserve">The Minimum Height/Drop is 300mm.
For the Multi Shade, 
Roman Shade &amp; 
Triple Shade options 
the Maximum Drop is 3000mm. </t>
        </r>
      </text>
    </comment>
    <comment ref="I19" authorId="0" shapeId="0" xr:uid="{00000000-0006-0000-0800-0000C6000000}">
      <text>
        <r>
          <rPr>
            <sz val="8"/>
            <color indexed="81"/>
            <rFont val="Tahoma"/>
            <family val="2"/>
          </rPr>
          <t>The Window Type 
options are;
Standard
Side By Side</t>
        </r>
      </text>
    </comment>
    <comment ref="J19" authorId="0" shapeId="0" xr:uid="{00000000-0006-0000-0800-0000C7000000}">
      <text>
        <r>
          <rPr>
            <sz val="8"/>
            <color indexed="81"/>
            <rFont val="Tahoma"/>
            <family val="2"/>
          </rPr>
          <t>The Fitting options are;
Face Fit
Recess Fit</t>
        </r>
      </text>
    </comment>
    <comment ref="K19" authorId="0" shapeId="0" xr:uid="{00000000-0006-0000-0800-0000C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9" authorId="0" shapeId="0" xr:uid="{00000000-0006-0000-0800-0000C9000000}">
      <text>
        <r>
          <rPr>
            <sz val="8"/>
            <color indexed="81"/>
            <rFont val="Tahoma"/>
            <family val="2"/>
          </rPr>
          <t>The Head Box/Rail 
Colours are;
Default
Beige
Black
Dark Brown
Grey
Ivory
Light Brown
White</t>
        </r>
      </text>
    </comment>
    <comment ref="M19" authorId="0" shapeId="0" xr:uid="{00000000-0006-0000-0800-0000CA00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19" authorId="0" shapeId="0" xr:uid="{00000000-0006-0000-0800-0000CB000000}">
      <text>
        <r>
          <rPr>
            <sz val="8"/>
            <color indexed="81"/>
            <rFont val="Tahoma"/>
            <family val="2"/>
          </rPr>
          <t>The Control 
options are;
Left
Right</t>
        </r>
      </text>
    </comment>
    <comment ref="O19" authorId="0" shapeId="0" xr:uid="{00000000-0006-0000-0800-0000CC000000}">
      <text>
        <r>
          <rPr>
            <sz val="8"/>
            <color indexed="81"/>
            <rFont val="Tahoma"/>
            <family val="2"/>
          </rPr>
          <t>The Chain Length 
options are; 
Default
500mm
750mm
1000mm
1250mm
1500mm
2000mm</t>
        </r>
      </text>
    </comment>
    <comment ref="P19" authorId="0" shapeId="0" xr:uid="{00000000-0006-0000-0800-0000CD000000}">
      <text>
        <r>
          <rPr>
            <sz val="8"/>
            <color indexed="81"/>
            <rFont val="Tahoma"/>
            <family val="2"/>
          </rPr>
          <t>The Chain Colour 
options are;
Default
Stainless Steel
If Default is selected 
then the Chain Colour 
will be matched to the 
Head Box Colour.</t>
        </r>
      </text>
    </comment>
    <comment ref="Q19" authorId="0" shapeId="0" xr:uid="{00000000-0006-0000-0800-0000CE000000}">
      <text>
        <r>
          <rPr>
            <sz val="8"/>
            <color indexed="81"/>
            <rFont val="Tahoma"/>
            <family val="2"/>
          </rPr>
          <t>For Multi Shade, 
Roman Shade and
Triple Shade,  
the  Fabric Insert  
options are;
No
Yes</t>
        </r>
      </text>
    </comment>
    <comment ref="R19" authorId="0" shapeId="0" xr:uid="{00000000-0006-0000-0800-0000CF000000}">
      <text>
        <r>
          <rPr>
            <sz val="8"/>
            <color indexed="81"/>
            <rFont val="Tahoma"/>
            <family val="2"/>
          </rPr>
          <t>For Multi Shade, 
the options are;
Standard
Over Roll
For Roman Shade, 
the options are;
Over Roll
For Triple Shade, 
the options are;
Standard</t>
        </r>
      </text>
    </comment>
    <comment ref="T19" authorId="0" shapeId="0" xr:uid="{00000000-0006-0000-0800-0000D0000000}">
      <text>
        <r>
          <rPr>
            <sz val="8"/>
            <color indexed="81"/>
            <rFont val="Tahoma"/>
            <family val="2"/>
          </rPr>
          <t>Please use this section 
to specify 
any Special Requirements
for the Line/Order.</t>
        </r>
      </text>
    </comment>
    <comment ref="D20" authorId="0" shapeId="0" xr:uid="{00000000-0006-0000-0800-0000D1000000}">
      <text>
        <r>
          <rPr>
            <sz val="8"/>
            <color indexed="81"/>
            <rFont val="Tahoma"/>
            <family val="2"/>
          </rPr>
          <t>The Products options are;
Multi Shade
Roman Shade
Triple Shade</t>
        </r>
      </text>
    </comment>
    <comment ref="E20" authorId="0" shapeId="0" xr:uid="{00000000-0006-0000-0800-0000D200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20" authorId="0" shapeId="0" xr:uid="{00000000-0006-0000-0800-0000D3000000}">
      <text>
        <r>
          <rPr>
            <sz val="8"/>
            <color indexed="81"/>
            <rFont val="Tahoma"/>
            <family val="2"/>
          </rPr>
          <t>The Colour can only be selected 
once the Product Type &amp; Finish has 
been entered.
Please refer to the Swatches.</t>
        </r>
      </text>
    </comment>
    <comment ref="G20" authorId="0" shapeId="0" xr:uid="{00000000-0006-0000-0800-0000D400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0" authorId="0" shapeId="0" xr:uid="{00000000-0006-0000-0800-0000D5000000}">
      <text>
        <r>
          <rPr>
            <sz val="8"/>
            <color indexed="81"/>
            <rFont val="Tahoma"/>
            <family val="2"/>
          </rPr>
          <t xml:space="preserve">The Minimum Height/Drop is 300mm.
For the Multi Shade, 
Roman Shade &amp; 
Triple Shade options 
the Maximum Drop is 3000mm. </t>
        </r>
      </text>
    </comment>
    <comment ref="I20" authorId="0" shapeId="0" xr:uid="{00000000-0006-0000-0800-0000D6000000}">
      <text>
        <r>
          <rPr>
            <sz val="8"/>
            <color indexed="81"/>
            <rFont val="Tahoma"/>
            <family val="2"/>
          </rPr>
          <t>The Window Type 
options are;
Standard
Side By Side</t>
        </r>
      </text>
    </comment>
    <comment ref="J20" authorId="0" shapeId="0" xr:uid="{00000000-0006-0000-0800-0000D7000000}">
      <text>
        <r>
          <rPr>
            <sz val="8"/>
            <color indexed="81"/>
            <rFont val="Tahoma"/>
            <family val="2"/>
          </rPr>
          <t>The Fitting options are;
Face Fit
Recess Fit</t>
        </r>
      </text>
    </comment>
    <comment ref="K20" authorId="0" shapeId="0" xr:uid="{00000000-0006-0000-0800-0000D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0" authorId="0" shapeId="0" xr:uid="{00000000-0006-0000-0800-0000D9000000}">
      <text>
        <r>
          <rPr>
            <sz val="8"/>
            <color indexed="81"/>
            <rFont val="Tahoma"/>
            <family val="2"/>
          </rPr>
          <t>The Head Box/Rail 
Colours are;
Default
Beige
Black
Dark Brown
Grey
Ivory
Light Brown
White</t>
        </r>
      </text>
    </comment>
    <comment ref="M20" authorId="0" shapeId="0" xr:uid="{00000000-0006-0000-0800-0000DA00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20" authorId="0" shapeId="0" xr:uid="{00000000-0006-0000-0800-0000DB000000}">
      <text>
        <r>
          <rPr>
            <sz val="8"/>
            <color indexed="81"/>
            <rFont val="Tahoma"/>
            <family val="2"/>
          </rPr>
          <t>The Control 
options are;
Left
Right</t>
        </r>
      </text>
    </comment>
    <comment ref="O20" authorId="0" shapeId="0" xr:uid="{00000000-0006-0000-0800-0000DC000000}">
      <text>
        <r>
          <rPr>
            <sz val="8"/>
            <color indexed="81"/>
            <rFont val="Tahoma"/>
            <family val="2"/>
          </rPr>
          <t>The Chain Length 
options are; 
Default
500mm
750mm
1000mm
1250mm
1500mm
2000mm</t>
        </r>
      </text>
    </comment>
    <comment ref="P20" authorId="0" shapeId="0" xr:uid="{00000000-0006-0000-0800-0000DD000000}">
      <text>
        <r>
          <rPr>
            <sz val="8"/>
            <color indexed="81"/>
            <rFont val="Tahoma"/>
            <family val="2"/>
          </rPr>
          <t>The Chain Colour 
options are;
Default
Stainless Steel
If Default is selected 
then the Chain Colour 
will be matched to the 
Head Box Colour.</t>
        </r>
      </text>
    </comment>
    <comment ref="Q20" authorId="0" shapeId="0" xr:uid="{00000000-0006-0000-0800-0000DE000000}">
      <text>
        <r>
          <rPr>
            <sz val="8"/>
            <color indexed="81"/>
            <rFont val="Tahoma"/>
            <family val="2"/>
          </rPr>
          <t>For Multi Shade, 
Roman Shade and
Triple Shade,  
the  Fabric Insert  
options are;
No
Yes</t>
        </r>
      </text>
    </comment>
    <comment ref="R20" authorId="0" shapeId="0" xr:uid="{00000000-0006-0000-0800-0000DF000000}">
      <text>
        <r>
          <rPr>
            <sz val="8"/>
            <color indexed="81"/>
            <rFont val="Tahoma"/>
            <family val="2"/>
          </rPr>
          <t>For Multi Shade, 
the options are;
Standard
Over Roll
For Roman Shade, 
the options are;
Over Roll
For Triple Shade, 
the options are;
Standard</t>
        </r>
      </text>
    </comment>
    <comment ref="T20" authorId="0" shapeId="0" xr:uid="{00000000-0006-0000-0800-0000E0000000}">
      <text>
        <r>
          <rPr>
            <sz val="8"/>
            <color indexed="81"/>
            <rFont val="Tahoma"/>
            <family val="2"/>
          </rPr>
          <t>Please use this section 
to specify 
any Special Requirements
for the Line/Order.</t>
        </r>
      </text>
    </comment>
    <comment ref="D21" authorId="0" shapeId="0" xr:uid="{00000000-0006-0000-0800-0000E1000000}">
      <text>
        <r>
          <rPr>
            <sz val="8"/>
            <color indexed="81"/>
            <rFont val="Tahoma"/>
            <family val="2"/>
          </rPr>
          <t>The Products options are;
Multi Shade
Roman Shade
Triple Shade</t>
        </r>
      </text>
    </comment>
    <comment ref="E21" authorId="0" shapeId="0" xr:uid="{00000000-0006-0000-0800-0000E200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21" authorId="0" shapeId="0" xr:uid="{00000000-0006-0000-0800-0000E3000000}">
      <text>
        <r>
          <rPr>
            <sz val="8"/>
            <color indexed="81"/>
            <rFont val="Tahoma"/>
            <family val="2"/>
          </rPr>
          <t>The Colour can only be selected 
once the Product Type &amp; Finish has 
been entered.
Please refer to the Swatches.</t>
        </r>
      </text>
    </comment>
    <comment ref="G21" authorId="0" shapeId="0" xr:uid="{00000000-0006-0000-0800-0000E400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1" authorId="0" shapeId="0" xr:uid="{00000000-0006-0000-0800-0000E5000000}">
      <text>
        <r>
          <rPr>
            <sz val="8"/>
            <color indexed="81"/>
            <rFont val="Tahoma"/>
            <family val="2"/>
          </rPr>
          <t xml:space="preserve">The Minimum Height/Drop is 300mm.
For the Multi Shade, 
Roman Shade &amp; 
Triple Shade options 
the Maximum Drop is 3000mm. </t>
        </r>
      </text>
    </comment>
    <comment ref="I21" authorId="0" shapeId="0" xr:uid="{00000000-0006-0000-0800-0000E6000000}">
      <text>
        <r>
          <rPr>
            <sz val="8"/>
            <color indexed="81"/>
            <rFont val="Tahoma"/>
            <family val="2"/>
          </rPr>
          <t>The Window Type 
options are;
Standard
Side By Side</t>
        </r>
      </text>
    </comment>
    <comment ref="J21" authorId="0" shapeId="0" xr:uid="{00000000-0006-0000-0800-0000E7000000}">
      <text>
        <r>
          <rPr>
            <sz val="8"/>
            <color indexed="81"/>
            <rFont val="Tahoma"/>
            <family val="2"/>
          </rPr>
          <t>The Fitting options are;
Face Fit
Recess Fit</t>
        </r>
      </text>
    </comment>
    <comment ref="K21" authorId="0" shapeId="0" xr:uid="{00000000-0006-0000-0800-0000E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1" authorId="0" shapeId="0" xr:uid="{00000000-0006-0000-0800-0000E9000000}">
      <text>
        <r>
          <rPr>
            <sz val="8"/>
            <color indexed="81"/>
            <rFont val="Tahoma"/>
            <family val="2"/>
          </rPr>
          <t>The Head Box/Rail 
Colours are;
Default
Beige
Black
Dark Brown
Grey
Ivory
Light Brown
White</t>
        </r>
      </text>
    </comment>
    <comment ref="M21" authorId="0" shapeId="0" xr:uid="{00000000-0006-0000-0800-0000EA00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21" authorId="0" shapeId="0" xr:uid="{00000000-0006-0000-0800-0000EB000000}">
      <text>
        <r>
          <rPr>
            <sz val="8"/>
            <color indexed="81"/>
            <rFont val="Tahoma"/>
            <family val="2"/>
          </rPr>
          <t>The Control 
options are;
Left
Right</t>
        </r>
      </text>
    </comment>
    <comment ref="O21" authorId="0" shapeId="0" xr:uid="{00000000-0006-0000-0800-0000EC000000}">
      <text>
        <r>
          <rPr>
            <sz val="8"/>
            <color indexed="81"/>
            <rFont val="Tahoma"/>
            <family val="2"/>
          </rPr>
          <t>The Chain Length 
options are; 
Default
500mm
750mm
1000mm
1250mm
1500mm
2000mm</t>
        </r>
      </text>
    </comment>
    <comment ref="P21" authorId="0" shapeId="0" xr:uid="{00000000-0006-0000-0800-0000ED000000}">
      <text>
        <r>
          <rPr>
            <sz val="8"/>
            <color indexed="81"/>
            <rFont val="Tahoma"/>
            <family val="2"/>
          </rPr>
          <t>The Chain Colour 
options are;
Default
Stainless Steel
If Default is selected 
then the Chain Colour 
will be matched to the 
Head Box Colour.</t>
        </r>
      </text>
    </comment>
    <comment ref="Q21" authorId="0" shapeId="0" xr:uid="{00000000-0006-0000-0800-0000EE000000}">
      <text>
        <r>
          <rPr>
            <sz val="8"/>
            <color indexed="81"/>
            <rFont val="Tahoma"/>
            <family val="2"/>
          </rPr>
          <t>For Multi Shade, 
Roman Shade and
Triple Shade,  
the  Fabric Insert  
options are;
No
Yes</t>
        </r>
      </text>
    </comment>
    <comment ref="R21" authorId="0" shapeId="0" xr:uid="{00000000-0006-0000-0800-0000EF000000}">
      <text>
        <r>
          <rPr>
            <sz val="8"/>
            <color indexed="81"/>
            <rFont val="Tahoma"/>
            <family val="2"/>
          </rPr>
          <t>For Multi Shade, 
the options are;
Standard
Over Roll
For Roman Shade, 
the options are;
Over Roll
For Triple Shade, 
the options are;
Standard</t>
        </r>
      </text>
    </comment>
    <comment ref="T21" authorId="0" shapeId="0" xr:uid="{00000000-0006-0000-0800-0000F0000000}">
      <text>
        <r>
          <rPr>
            <sz val="8"/>
            <color indexed="81"/>
            <rFont val="Tahoma"/>
            <family val="2"/>
          </rPr>
          <t>Please use this section 
to specify 
any Special Requirements
for the Line/Order.</t>
        </r>
      </text>
    </comment>
    <comment ref="D22" authorId="0" shapeId="0" xr:uid="{00000000-0006-0000-0800-0000F1000000}">
      <text>
        <r>
          <rPr>
            <sz val="8"/>
            <color indexed="81"/>
            <rFont val="Tahoma"/>
            <family val="2"/>
          </rPr>
          <t>The Products options are;
Multi Shade
Roman Shade
Triple Shade</t>
        </r>
      </text>
    </comment>
    <comment ref="E22" authorId="0" shapeId="0" xr:uid="{00000000-0006-0000-0800-0000F200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22" authorId="0" shapeId="0" xr:uid="{00000000-0006-0000-0800-0000F3000000}">
      <text>
        <r>
          <rPr>
            <sz val="8"/>
            <color indexed="81"/>
            <rFont val="Tahoma"/>
            <family val="2"/>
          </rPr>
          <t>The Colour can only be selected 
once the Product Type &amp; Finish has 
been entered.
Please refer to the Swatches.</t>
        </r>
      </text>
    </comment>
    <comment ref="G22" authorId="0" shapeId="0" xr:uid="{00000000-0006-0000-0800-0000F400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2" authorId="0" shapeId="0" xr:uid="{00000000-0006-0000-0800-0000F5000000}">
      <text>
        <r>
          <rPr>
            <sz val="8"/>
            <color indexed="81"/>
            <rFont val="Tahoma"/>
            <family val="2"/>
          </rPr>
          <t xml:space="preserve">The Minimum Height/Drop is 300mm.
For the Multi Shade, 
Roman Shade &amp; 
Triple Shade options 
the Maximum Drop is 3000mm. </t>
        </r>
      </text>
    </comment>
    <comment ref="I22" authorId="0" shapeId="0" xr:uid="{00000000-0006-0000-0800-0000F6000000}">
      <text>
        <r>
          <rPr>
            <sz val="8"/>
            <color indexed="81"/>
            <rFont val="Tahoma"/>
            <family val="2"/>
          </rPr>
          <t>The Window Type 
options are;
Standard
Side By Side</t>
        </r>
      </text>
    </comment>
    <comment ref="J22" authorId="0" shapeId="0" xr:uid="{00000000-0006-0000-0800-0000F7000000}">
      <text>
        <r>
          <rPr>
            <sz val="8"/>
            <color indexed="81"/>
            <rFont val="Tahoma"/>
            <family val="2"/>
          </rPr>
          <t>The Fitting options are;
Face Fit
Recess Fit</t>
        </r>
      </text>
    </comment>
    <comment ref="K22" authorId="0" shapeId="0" xr:uid="{00000000-0006-0000-0800-0000F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2" authorId="0" shapeId="0" xr:uid="{00000000-0006-0000-0800-0000F9000000}">
      <text>
        <r>
          <rPr>
            <sz val="8"/>
            <color indexed="81"/>
            <rFont val="Tahoma"/>
            <family val="2"/>
          </rPr>
          <t>The Head Box/Rail 
Colours are;
Default
Beige
Black
Dark Brown
Grey
Ivory
Light Brown
White</t>
        </r>
      </text>
    </comment>
    <comment ref="M22" authorId="0" shapeId="0" xr:uid="{00000000-0006-0000-0800-0000FA00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22" authorId="0" shapeId="0" xr:uid="{00000000-0006-0000-0800-0000FB000000}">
      <text>
        <r>
          <rPr>
            <sz val="8"/>
            <color indexed="81"/>
            <rFont val="Tahoma"/>
            <family val="2"/>
          </rPr>
          <t>The Control 
options are;
Left
Right</t>
        </r>
      </text>
    </comment>
    <comment ref="O22" authorId="0" shapeId="0" xr:uid="{00000000-0006-0000-0800-0000FC000000}">
      <text>
        <r>
          <rPr>
            <sz val="8"/>
            <color indexed="81"/>
            <rFont val="Tahoma"/>
            <family val="2"/>
          </rPr>
          <t>The Chain Length 
options are; 
Default
500mm
750mm
1000mm
1250mm
1500mm
2000mm</t>
        </r>
      </text>
    </comment>
    <comment ref="P22" authorId="0" shapeId="0" xr:uid="{00000000-0006-0000-0800-0000FD000000}">
      <text>
        <r>
          <rPr>
            <sz val="8"/>
            <color indexed="81"/>
            <rFont val="Tahoma"/>
            <family val="2"/>
          </rPr>
          <t>The Chain Colour 
options are;
Default
Stainless Steel
If Default is selected 
then the Chain Colour 
will be matched to the 
Head Box Colour.</t>
        </r>
      </text>
    </comment>
    <comment ref="Q22" authorId="0" shapeId="0" xr:uid="{00000000-0006-0000-0800-0000FE000000}">
      <text>
        <r>
          <rPr>
            <sz val="8"/>
            <color indexed="81"/>
            <rFont val="Tahoma"/>
            <family val="2"/>
          </rPr>
          <t>For Multi Shade, 
Roman Shade and
Triple Shade,  
the  Fabric Insert  
options are;
No
Yes</t>
        </r>
      </text>
    </comment>
    <comment ref="R22" authorId="0" shapeId="0" xr:uid="{00000000-0006-0000-0800-0000FF000000}">
      <text>
        <r>
          <rPr>
            <sz val="8"/>
            <color indexed="81"/>
            <rFont val="Tahoma"/>
            <family val="2"/>
          </rPr>
          <t>For Multi Shade, 
the options are;
Standard
Over Roll
For Roman Shade, 
the options are;
Over Roll
For Triple Shade, 
the options are;
Standard</t>
        </r>
      </text>
    </comment>
    <comment ref="T22" authorId="0" shapeId="0" xr:uid="{00000000-0006-0000-0800-000000010000}">
      <text>
        <r>
          <rPr>
            <sz val="8"/>
            <color indexed="81"/>
            <rFont val="Tahoma"/>
            <family val="2"/>
          </rPr>
          <t>Please use this section 
to specify 
any Special Requirements
for the Line/Order.</t>
        </r>
      </text>
    </comment>
    <comment ref="D23" authorId="0" shapeId="0" xr:uid="{00000000-0006-0000-0800-000001010000}">
      <text>
        <r>
          <rPr>
            <sz val="8"/>
            <color indexed="81"/>
            <rFont val="Tahoma"/>
            <family val="2"/>
          </rPr>
          <t>The Products options are;
Multi Shade
Roman Shade
Triple Shade</t>
        </r>
      </text>
    </comment>
    <comment ref="E23" authorId="0" shapeId="0" xr:uid="{00000000-0006-0000-0800-00000201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23" authorId="0" shapeId="0" xr:uid="{00000000-0006-0000-0800-000003010000}">
      <text>
        <r>
          <rPr>
            <sz val="8"/>
            <color indexed="81"/>
            <rFont val="Tahoma"/>
            <family val="2"/>
          </rPr>
          <t>The Colour can only be selected 
once the Product Type &amp; Finish has 
been entered.
Please refer to the Swatches.</t>
        </r>
      </text>
    </comment>
    <comment ref="G23" authorId="0" shapeId="0" xr:uid="{00000000-0006-0000-0800-00000401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3" authorId="0" shapeId="0" xr:uid="{00000000-0006-0000-0800-000005010000}">
      <text>
        <r>
          <rPr>
            <sz val="8"/>
            <color indexed="81"/>
            <rFont val="Tahoma"/>
            <family val="2"/>
          </rPr>
          <t xml:space="preserve">The Minimum Height/Drop is 300mm.
For the Multi Shade, 
Roman Shade &amp; 
Triple Shade options 
the Maximum Drop is 3000mm. </t>
        </r>
      </text>
    </comment>
    <comment ref="I23" authorId="0" shapeId="0" xr:uid="{00000000-0006-0000-0800-000006010000}">
      <text>
        <r>
          <rPr>
            <sz val="8"/>
            <color indexed="81"/>
            <rFont val="Tahoma"/>
            <family val="2"/>
          </rPr>
          <t>The Window Type 
options are;
Standard
Side By Side</t>
        </r>
      </text>
    </comment>
    <comment ref="J23" authorId="0" shapeId="0" xr:uid="{00000000-0006-0000-0800-000007010000}">
      <text>
        <r>
          <rPr>
            <sz val="8"/>
            <color indexed="81"/>
            <rFont val="Tahoma"/>
            <family val="2"/>
          </rPr>
          <t>The Fitting options are;
Face Fit
Recess Fit</t>
        </r>
      </text>
    </comment>
    <comment ref="K23" authorId="0" shapeId="0" xr:uid="{00000000-0006-0000-0800-00000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3" authorId="0" shapeId="0" xr:uid="{00000000-0006-0000-0800-000009010000}">
      <text>
        <r>
          <rPr>
            <sz val="8"/>
            <color indexed="81"/>
            <rFont val="Tahoma"/>
            <family val="2"/>
          </rPr>
          <t>The Head Box/Rail 
Colours are;
Default
Beige
Black
Dark Brown
Grey
Ivory
Light Brown
White</t>
        </r>
      </text>
    </comment>
    <comment ref="M23" authorId="0" shapeId="0" xr:uid="{00000000-0006-0000-0800-00000A01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23" authorId="0" shapeId="0" xr:uid="{00000000-0006-0000-0800-00000B010000}">
      <text>
        <r>
          <rPr>
            <sz val="8"/>
            <color indexed="81"/>
            <rFont val="Tahoma"/>
            <family val="2"/>
          </rPr>
          <t>The Control 
options are;
Left
Right</t>
        </r>
      </text>
    </comment>
    <comment ref="O23" authorId="0" shapeId="0" xr:uid="{00000000-0006-0000-0800-00000C010000}">
      <text>
        <r>
          <rPr>
            <sz val="8"/>
            <color indexed="81"/>
            <rFont val="Tahoma"/>
            <family val="2"/>
          </rPr>
          <t>The Chain Length 
options are; 
Default
500mm
750mm
1000mm
1250mm
1500mm
2000mm</t>
        </r>
      </text>
    </comment>
    <comment ref="P23" authorId="0" shapeId="0" xr:uid="{00000000-0006-0000-0800-00000D010000}">
      <text>
        <r>
          <rPr>
            <sz val="8"/>
            <color indexed="81"/>
            <rFont val="Tahoma"/>
            <family val="2"/>
          </rPr>
          <t>The Chain Colour 
options are;
Default
Stainless Steel
If Default is selected 
then the Chain Colour 
will be matched to the 
Head Box Colour.</t>
        </r>
      </text>
    </comment>
    <comment ref="Q23" authorId="0" shapeId="0" xr:uid="{00000000-0006-0000-0800-00000E010000}">
      <text>
        <r>
          <rPr>
            <sz val="8"/>
            <color indexed="81"/>
            <rFont val="Tahoma"/>
            <family val="2"/>
          </rPr>
          <t>For Multi Shade, 
Roman Shade and
Triple Shade,  
the  Fabric Insert  
options are;
No
Yes</t>
        </r>
      </text>
    </comment>
    <comment ref="R23" authorId="0" shapeId="0" xr:uid="{00000000-0006-0000-0800-00000F010000}">
      <text>
        <r>
          <rPr>
            <sz val="8"/>
            <color indexed="81"/>
            <rFont val="Tahoma"/>
            <family val="2"/>
          </rPr>
          <t>For Multi Shade, 
the options are;
Standard
Over Roll
For Roman Shade, 
the options are;
Over Roll
For Triple Shade, 
the options are;
Standard</t>
        </r>
      </text>
    </comment>
    <comment ref="T23" authorId="0" shapeId="0" xr:uid="{00000000-0006-0000-0800-000010010000}">
      <text>
        <r>
          <rPr>
            <sz val="8"/>
            <color indexed="81"/>
            <rFont val="Tahoma"/>
            <family val="2"/>
          </rPr>
          <t>Please use this section 
to specify 
any Special Requirements
for the Line/Order.</t>
        </r>
      </text>
    </comment>
    <comment ref="D24" authorId="0" shapeId="0" xr:uid="{00000000-0006-0000-0800-000011010000}">
      <text>
        <r>
          <rPr>
            <sz val="8"/>
            <color indexed="81"/>
            <rFont val="Tahoma"/>
            <family val="2"/>
          </rPr>
          <t>The Products options are;
Multi Shade
Roman Shade
Triple Shade</t>
        </r>
      </text>
    </comment>
    <comment ref="E24" authorId="0" shapeId="0" xr:uid="{00000000-0006-0000-0800-00001201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24" authorId="0" shapeId="0" xr:uid="{00000000-0006-0000-0800-000013010000}">
      <text>
        <r>
          <rPr>
            <sz val="8"/>
            <color indexed="81"/>
            <rFont val="Tahoma"/>
            <family val="2"/>
          </rPr>
          <t>The Colour can only be selected 
once the Product Type &amp; Finish has 
been entered.
Please refer to the Swatches.</t>
        </r>
      </text>
    </comment>
    <comment ref="G24" authorId="0" shapeId="0" xr:uid="{00000000-0006-0000-0800-00001401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4" authorId="0" shapeId="0" xr:uid="{00000000-0006-0000-0800-000015010000}">
      <text>
        <r>
          <rPr>
            <sz val="8"/>
            <color indexed="81"/>
            <rFont val="Tahoma"/>
            <family val="2"/>
          </rPr>
          <t xml:space="preserve">The Minimum Height/Drop is 300mm.
For the Multi Shade, 
Roman Shade &amp; 
Triple Shade options 
the Maximum Drop is 3000mm. </t>
        </r>
      </text>
    </comment>
    <comment ref="I24" authorId="0" shapeId="0" xr:uid="{00000000-0006-0000-0800-000016010000}">
      <text>
        <r>
          <rPr>
            <sz val="8"/>
            <color indexed="81"/>
            <rFont val="Tahoma"/>
            <family val="2"/>
          </rPr>
          <t>The Window Type 
options are;
Standard
Side By Side</t>
        </r>
      </text>
    </comment>
    <comment ref="J24" authorId="0" shapeId="0" xr:uid="{00000000-0006-0000-0800-000017010000}">
      <text>
        <r>
          <rPr>
            <sz val="8"/>
            <color indexed="81"/>
            <rFont val="Tahoma"/>
            <family val="2"/>
          </rPr>
          <t>The Fitting options are;
Face Fit
Recess Fit</t>
        </r>
      </text>
    </comment>
    <comment ref="K24" authorId="0" shapeId="0" xr:uid="{00000000-0006-0000-0800-00001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4" authorId="0" shapeId="0" xr:uid="{00000000-0006-0000-0800-000019010000}">
      <text>
        <r>
          <rPr>
            <sz val="8"/>
            <color indexed="81"/>
            <rFont val="Tahoma"/>
            <family val="2"/>
          </rPr>
          <t>The Head Box/Rail 
Colours are;
Default
Beige
Black
Dark Brown
Grey
Ivory
Light Brown
White</t>
        </r>
      </text>
    </comment>
    <comment ref="M24" authorId="0" shapeId="0" xr:uid="{00000000-0006-0000-0800-00001A01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24" authorId="0" shapeId="0" xr:uid="{00000000-0006-0000-0800-00001B010000}">
      <text>
        <r>
          <rPr>
            <sz val="8"/>
            <color indexed="81"/>
            <rFont val="Tahoma"/>
            <family val="2"/>
          </rPr>
          <t>The Control 
options are;
Left
Right</t>
        </r>
      </text>
    </comment>
    <comment ref="O24" authorId="0" shapeId="0" xr:uid="{00000000-0006-0000-0800-00001C010000}">
      <text>
        <r>
          <rPr>
            <sz val="8"/>
            <color indexed="81"/>
            <rFont val="Tahoma"/>
            <family val="2"/>
          </rPr>
          <t>The Chain Length 
options are; 
Default
500mm
750mm
1000mm
1250mm
1500mm
2000mm</t>
        </r>
      </text>
    </comment>
    <comment ref="P24" authorId="0" shapeId="0" xr:uid="{00000000-0006-0000-0800-00001D010000}">
      <text>
        <r>
          <rPr>
            <sz val="8"/>
            <color indexed="81"/>
            <rFont val="Tahoma"/>
            <family val="2"/>
          </rPr>
          <t>The Chain Colour 
options are;
Default
Stainless Steel
If Default is selected 
then the Chain Colour 
will be matched to the 
Head Box Colour.</t>
        </r>
      </text>
    </comment>
    <comment ref="Q24" authorId="0" shapeId="0" xr:uid="{00000000-0006-0000-0800-00001E010000}">
      <text>
        <r>
          <rPr>
            <sz val="8"/>
            <color indexed="81"/>
            <rFont val="Tahoma"/>
            <family val="2"/>
          </rPr>
          <t>For Multi Shade, 
Roman Shade and
Triple Shade,  
the  Fabric Insert  
options are;
No
Yes</t>
        </r>
      </text>
    </comment>
    <comment ref="R24" authorId="0" shapeId="0" xr:uid="{00000000-0006-0000-0800-00001F010000}">
      <text>
        <r>
          <rPr>
            <sz val="8"/>
            <color indexed="81"/>
            <rFont val="Tahoma"/>
            <family val="2"/>
          </rPr>
          <t>For Multi Shade, 
the options are;
Standard
Over Roll
For Roman Shade, 
the options are;
Over Roll
For Triple Shade, 
the options are;
Standard</t>
        </r>
      </text>
    </comment>
    <comment ref="T24" authorId="0" shapeId="0" xr:uid="{00000000-0006-0000-0800-000020010000}">
      <text>
        <r>
          <rPr>
            <sz val="8"/>
            <color indexed="81"/>
            <rFont val="Tahoma"/>
            <family val="2"/>
          </rPr>
          <t>Please use this section 
to specify 
any Special Requirements
for the Line/Order.</t>
        </r>
      </text>
    </comment>
    <comment ref="D25" authorId="0" shapeId="0" xr:uid="{00000000-0006-0000-0800-000021010000}">
      <text>
        <r>
          <rPr>
            <sz val="8"/>
            <color indexed="81"/>
            <rFont val="Tahoma"/>
            <family val="2"/>
          </rPr>
          <t>The Products options are;
Multi Shade
Roman Shade
Triple Shade</t>
        </r>
      </text>
    </comment>
    <comment ref="E25" authorId="0" shapeId="0" xr:uid="{00000000-0006-0000-0800-00002201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25" authorId="0" shapeId="0" xr:uid="{00000000-0006-0000-0800-000023010000}">
      <text>
        <r>
          <rPr>
            <sz val="8"/>
            <color indexed="81"/>
            <rFont val="Tahoma"/>
            <family val="2"/>
          </rPr>
          <t>The Colour can only be selected 
once the Product Type &amp; Finish has 
been entered.
Please refer to the Swatches.</t>
        </r>
      </text>
    </comment>
    <comment ref="G25" authorId="0" shapeId="0" xr:uid="{00000000-0006-0000-0800-00002401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5" authorId="0" shapeId="0" xr:uid="{00000000-0006-0000-0800-000025010000}">
      <text>
        <r>
          <rPr>
            <sz val="8"/>
            <color indexed="81"/>
            <rFont val="Tahoma"/>
            <family val="2"/>
          </rPr>
          <t xml:space="preserve">The Minimum Height/Drop is 300mm.
For the Multi Shade, 
Roman Shade &amp; 
Triple Shade options 
the Maximum Drop is 3000mm. </t>
        </r>
      </text>
    </comment>
    <comment ref="I25" authorId="0" shapeId="0" xr:uid="{00000000-0006-0000-0800-000026010000}">
      <text>
        <r>
          <rPr>
            <sz val="8"/>
            <color indexed="81"/>
            <rFont val="Tahoma"/>
            <family val="2"/>
          </rPr>
          <t>The Window Type 
options are;
Standard
Side By Side</t>
        </r>
      </text>
    </comment>
    <comment ref="J25" authorId="0" shapeId="0" xr:uid="{00000000-0006-0000-0800-000027010000}">
      <text>
        <r>
          <rPr>
            <sz val="8"/>
            <color indexed="81"/>
            <rFont val="Tahoma"/>
            <family val="2"/>
          </rPr>
          <t>The Fitting options are;
Face Fit
Recess Fit</t>
        </r>
      </text>
    </comment>
    <comment ref="K25" authorId="0" shapeId="0" xr:uid="{00000000-0006-0000-0800-00002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5" authorId="0" shapeId="0" xr:uid="{00000000-0006-0000-0800-000029010000}">
      <text>
        <r>
          <rPr>
            <sz val="8"/>
            <color indexed="81"/>
            <rFont val="Tahoma"/>
            <family val="2"/>
          </rPr>
          <t>The Head Box/Rail 
Colours are;
Default
Beige
Black
Dark Brown
Grey
Ivory
Light Brown
White</t>
        </r>
      </text>
    </comment>
    <comment ref="M25" authorId="0" shapeId="0" xr:uid="{00000000-0006-0000-0800-00002A01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25" authorId="0" shapeId="0" xr:uid="{00000000-0006-0000-0800-00002B010000}">
      <text>
        <r>
          <rPr>
            <sz val="8"/>
            <color indexed="81"/>
            <rFont val="Tahoma"/>
            <family val="2"/>
          </rPr>
          <t>The Control 
options are;
Left
Right</t>
        </r>
      </text>
    </comment>
    <comment ref="O25" authorId="0" shapeId="0" xr:uid="{00000000-0006-0000-0800-00002C010000}">
      <text>
        <r>
          <rPr>
            <sz val="8"/>
            <color indexed="81"/>
            <rFont val="Tahoma"/>
            <family val="2"/>
          </rPr>
          <t>The Chain Length 
options are; 
Default
500mm
750mm
1000mm
1250mm
1500mm
2000mm</t>
        </r>
      </text>
    </comment>
    <comment ref="P25" authorId="0" shapeId="0" xr:uid="{00000000-0006-0000-0800-00002D010000}">
      <text>
        <r>
          <rPr>
            <sz val="8"/>
            <color indexed="81"/>
            <rFont val="Tahoma"/>
            <family val="2"/>
          </rPr>
          <t>The Chain Colour 
options are;
Default
Stainless Steel
If Default is selected 
then the Chain Colour 
will be matched to the 
Head Box Colour.</t>
        </r>
      </text>
    </comment>
    <comment ref="Q25" authorId="0" shapeId="0" xr:uid="{00000000-0006-0000-0800-00002E010000}">
      <text>
        <r>
          <rPr>
            <sz val="8"/>
            <color indexed="81"/>
            <rFont val="Tahoma"/>
            <family val="2"/>
          </rPr>
          <t>For Multi Shade, 
Roman Shade and
Triple Shade,  
the  Fabric Insert  
options are;
No
Yes</t>
        </r>
      </text>
    </comment>
    <comment ref="R25" authorId="0" shapeId="0" xr:uid="{00000000-0006-0000-0800-00002F010000}">
      <text>
        <r>
          <rPr>
            <sz val="8"/>
            <color indexed="81"/>
            <rFont val="Tahoma"/>
            <family val="2"/>
          </rPr>
          <t>For Multi Shade, 
the options are;
Standard
Over Roll
For Roman Shade, 
the options are;
Over Roll
For Triple Shade, 
the options are;
Standard</t>
        </r>
      </text>
    </comment>
    <comment ref="T25" authorId="0" shapeId="0" xr:uid="{00000000-0006-0000-0800-000030010000}">
      <text>
        <r>
          <rPr>
            <sz val="8"/>
            <color indexed="81"/>
            <rFont val="Tahoma"/>
            <family val="2"/>
          </rPr>
          <t>Please use this section 
to specify 
any Special Requirements
for the Line/Order.</t>
        </r>
      </text>
    </comment>
    <comment ref="D26" authorId="0" shapeId="0" xr:uid="{00000000-0006-0000-0800-000031010000}">
      <text>
        <r>
          <rPr>
            <sz val="8"/>
            <color indexed="81"/>
            <rFont val="Tahoma"/>
            <family val="2"/>
          </rPr>
          <t>The Products options are;
Multi Shade
Roman Shade
Triple Shade</t>
        </r>
      </text>
    </comment>
    <comment ref="E26" authorId="0" shapeId="0" xr:uid="{00000000-0006-0000-0800-00003201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26" authorId="0" shapeId="0" xr:uid="{00000000-0006-0000-0800-000033010000}">
      <text>
        <r>
          <rPr>
            <sz val="8"/>
            <color indexed="81"/>
            <rFont val="Tahoma"/>
            <family val="2"/>
          </rPr>
          <t>The Colour can only be selected 
once the Product Type &amp; Finish has 
been entered.
Please refer to the Swatches.</t>
        </r>
      </text>
    </comment>
    <comment ref="G26" authorId="0" shapeId="0" xr:uid="{00000000-0006-0000-0800-00003401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6" authorId="0" shapeId="0" xr:uid="{00000000-0006-0000-0800-000035010000}">
      <text>
        <r>
          <rPr>
            <sz val="8"/>
            <color indexed="81"/>
            <rFont val="Tahoma"/>
            <family val="2"/>
          </rPr>
          <t xml:space="preserve">The Minimum Height/Drop is 300mm.
For the Multi Shade, 
Roman Shade &amp; 
Triple Shade options 
the Maximum Drop is 3000mm. </t>
        </r>
      </text>
    </comment>
    <comment ref="I26" authorId="0" shapeId="0" xr:uid="{00000000-0006-0000-0800-000036010000}">
      <text>
        <r>
          <rPr>
            <sz val="8"/>
            <color indexed="81"/>
            <rFont val="Tahoma"/>
            <family val="2"/>
          </rPr>
          <t>The Window Type 
options are;
Standard
Side By Side</t>
        </r>
      </text>
    </comment>
    <comment ref="J26" authorId="0" shapeId="0" xr:uid="{00000000-0006-0000-0800-000037010000}">
      <text>
        <r>
          <rPr>
            <sz val="8"/>
            <color indexed="81"/>
            <rFont val="Tahoma"/>
            <family val="2"/>
          </rPr>
          <t>The Fitting options are;
Face Fit
Recess Fit</t>
        </r>
      </text>
    </comment>
    <comment ref="K26" authorId="0" shapeId="0" xr:uid="{00000000-0006-0000-0800-00003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6" authorId="0" shapeId="0" xr:uid="{00000000-0006-0000-0800-000039010000}">
      <text>
        <r>
          <rPr>
            <sz val="8"/>
            <color indexed="81"/>
            <rFont val="Tahoma"/>
            <family val="2"/>
          </rPr>
          <t>The Head Box/Rail 
Colours are;
Default
Beige
Black
Dark Brown
Grey
Ivory
Light Brown
White</t>
        </r>
      </text>
    </comment>
    <comment ref="M26" authorId="0" shapeId="0" xr:uid="{00000000-0006-0000-0800-00003A01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26" authorId="0" shapeId="0" xr:uid="{00000000-0006-0000-0800-00003B010000}">
      <text>
        <r>
          <rPr>
            <sz val="8"/>
            <color indexed="81"/>
            <rFont val="Tahoma"/>
            <family val="2"/>
          </rPr>
          <t>The Control 
options are;
Left
Right</t>
        </r>
      </text>
    </comment>
    <comment ref="O26" authorId="0" shapeId="0" xr:uid="{00000000-0006-0000-0800-00003C010000}">
      <text>
        <r>
          <rPr>
            <sz val="8"/>
            <color indexed="81"/>
            <rFont val="Tahoma"/>
            <family val="2"/>
          </rPr>
          <t>The Chain Length 
options are; 
Default
500mm
750mm
1000mm
1250mm
1500mm
2000mm</t>
        </r>
      </text>
    </comment>
    <comment ref="P26" authorId="0" shapeId="0" xr:uid="{00000000-0006-0000-0800-00003D010000}">
      <text>
        <r>
          <rPr>
            <sz val="8"/>
            <color indexed="81"/>
            <rFont val="Tahoma"/>
            <family val="2"/>
          </rPr>
          <t>The Chain Colour 
options are;
Default
Stainless Steel
If Default is selected 
then the Chain Colour 
will be matched to the 
Head Box Colour.</t>
        </r>
      </text>
    </comment>
    <comment ref="Q26" authorId="0" shapeId="0" xr:uid="{00000000-0006-0000-0800-00003E010000}">
      <text>
        <r>
          <rPr>
            <sz val="8"/>
            <color indexed="81"/>
            <rFont val="Tahoma"/>
            <family val="2"/>
          </rPr>
          <t>For Multi Shade, 
Roman Shade and
Triple Shade,  
the  Fabric Insert  
options are;
No
Yes</t>
        </r>
      </text>
    </comment>
    <comment ref="R26" authorId="0" shapeId="0" xr:uid="{00000000-0006-0000-0800-00003F010000}">
      <text>
        <r>
          <rPr>
            <sz val="8"/>
            <color indexed="81"/>
            <rFont val="Tahoma"/>
            <family val="2"/>
          </rPr>
          <t>For Multi Shade, 
the options are;
Standard
Over Roll
For Roman Shade, 
the options are;
Over Roll
For Triple Shade, 
the options are;
Standard</t>
        </r>
      </text>
    </comment>
    <comment ref="T26" authorId="0" shapeId="0" xr:uid="{00000000-0006-0000-0800-000040010000}">
      <text>
        <r>
          <rPr>
            <sz val="8"/>
            <color indexed="81"/>
            <rFont val="Tahoma"/>
            <family val="2"/>
          </rPr>
          <t>Please use this section 
to specify 
any Special Requirements
for the Line/Order.</t>
        </r>
      </text>
    </comment>
    <comment ref="D27" authorId="0" shapeId="0" xr:uid="{00000000-0006-0000-0800-000041010000}">
      <text>
        <r>
          <rPr>
            <sz val="8"/>
            <color indexed="81"/>
            <rFont val="Tahoma"/>
            <family val="2"/>
          </rPr>
          <t>The Products options are;
Multi Shade
Roman Shade
Triple Shade</t>
        </r>
      </text>
    </comment>
    <comment ref="E27" authorId="0" shapeId="0" xr:uid="{00000000-0006-0000-0800-00004201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27" authorId="0" shapeId="0" xr:uid="{00000000-0006-0000-0800-000043010000}">
      <text>
        <r>
          <rPr>
            <sz val="8"/>
            <color indexed="81"/>
            <rFont val="Tahoma"/>
            <family val="2"/>
          </rPr>
          <t>The Colour can only be selected 
once the Product Type &amp; Finish has 
been entered.
Please refer to the Swatches.</t>
        </r>
      </text>
    </comment>
    <comment ref="G27" authorId="0" shapeId="0" xr:uid="{00000000-0006-0000-0800-00004401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7" authorId="0" shapeId="0" xr:uid="{00000000-0006-0000-0800-000045010000}">
      <text>
        <r>
          <rPr>
            <sz val="8"/>
            <color indexed="81"/>
            <rFont val="Tahoma"/>
            <family val="2"/>
          </rPr>
          <t xml:space="preserve">The Minimum Height/Drop is 300mm.
For the Multi Shade, 
Roman Shade &amp; 
Triple Shade options 
the Maximum Drop is 3000mm. </t>
        </r>
      </text>
    </comment>
    <comment ref="I27" authorId="0" shapeId="0" xr:uid="{00000000-0006-0000-0800-000046010000}">
      <text>
        <r>
          <rPr>
            <sz val="8"/>
            <color indexed="81"/>
            <rFont val="Tahoma"/>
            <family val="2"/>
          </rPr>
          <t>The Window Type 
options are;
Standard
Side By Side</t>
        </r>
      </text>
    </comment>
    <comment ref="J27" authorId="0" shapeId="0" xr:uid="{00000000-0006-0000-0800-000047010000}">
      <text>
        <r>
          <rPr>
            <sz val="8"/>
            <color indexed="81"/>
            <rFont val="Tahoma"/>
            <family val="2"/>
          </rPr>
          <t>The Fitting options are;
Face Fit
Recess Fit</t>
        </r>
      </text>
    </comment>
    <comment ref="K27" authorId="0" shapeId="0" xr:uid="{00000000-0006-0000-0800-00004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7" authorId="0" shapeId="0" xr:uid="{00000000-0006-0000-0800-000049010000}">
      <text>
        <r>
          <rPr>
            <sz val="8"/>
            <color indexed="81"/>
            <rFont val="Tahoma"/>
            <family val="2"/>
          </rPr>
          <t>The Head Box/Rail 
Colours are;
Default
Beige
Black
Dark Brown
Grey
Ivory
Light Brown
White</t>
        </r>
      </text>
    </comment>
    <comment ref="M27" authorId="0" shapeId="0" xr:uid="{00000000-0006-0000-0800-00004A01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27" authorId="0" shapeId="0" xr:uid="{00000000-0006-0000-0800-00004B010000}">
      <text>
        <r>
          <rPr>
            <sz val="8"/>
            <color indexed="81"/>
            <rFont val="Tahoma"/>
            <family val="2"/>
          </rPr>
          <t>The Control 
options are;
Left
Right</t>
        </r>
      </text>
    </comment>
    <comment ref="O27" authorId="0" shapeId="0" xr:uid="{00000000-0006-0000-0800-00004C010000}">
      <text>
        <r>
          <rPr>
            <sz val="8"/>
            <color indexed="81"/>
            <rFont val="Tahoma"/>
            <family val="2"/>
          </rPr>
          <t>The Chain Length 
options are; 
Default
500mm
750mm
1000mm
1250mm
1500mm
2000mm</t>
        </r>
      </text>
    </comment>
    <comment ref="P27" authorId="0" shapeId="0" xr:uid="{00000000-0006-0000-0800-00004D010000}">
      <text>
        <r>
          <rPr>
            <sz val="8"/>
            <color indexed="81"/>
            <rFont val="Tahoma"/>
            <family val="2"/>
          </rPr>
          <t>The Chain Colour 
options are;
Default
Stainless Steel
If Default is selected 
then the Chain Colour 
will be matched to the 
Head Box Colour.</t>
        </r>
      </text>
    </comment>
    <comment ref="Q27" authorId="0" shapeId="0" xr:uid="{00000000-0006-0000-0800-00004E010000}">
      <text>
        <r>
          <rPr>
            <sz val="8"/>
            <color indexed="81"/>
            <rFont val="Tahoma"/>
            <family val="2"/>
          </rPr>
          <t>For Multi Shade, 
Roman Shade and
Triple Shade,  
the  Fabric Insert  
options are;
No
Yes</t>
        </r>
      </text>
    </comment>
    <comment ref="R27" authorId="0" shapeId="0" xr:uid="{00000000-0006-0000-0800-00004F010000}">
      <text>
        <r>
          <rPr>
            <sz val="8"/>
            <color indexed="81"/>
            <rFont val="Tahoma"/>
            <family val="2"/>
          </rPr>
          <t>For Multi Shade, 
the options are;
Standard
Over Roll
For Roman Shade, 
the options are;
Over Roll
For Triple Shade, 
the options are;
Standard</t>
        </r>
      </text>
    </comment>
    <comment ref="T27" authorId="0" shapeId="0" xr:uid="{00000000-0006-0000-0800-000050010000}">
      <text>
        <r>
          <rPr>
            <sz val="8"/>
            <color indexed="81"/>
            <rFont val="Tahoma"/>
            <family val="2"/>
          </rPr>
          <t>Please use this section 
to specify 
any Special Requirements
for the Line/Order.</t>
        </r>
      </text>
    </comment>
    <comment ref="D28" authorId="0" shapeId="0" xr:uid="{00000000-0006-0000-0800-000051010000}">
      <text>
        <r>
          <rPr>
            <sz val="8"/>
            <color indexed="81"/>
            <rFont val="Tahoma"/>
            <family val="2"/>
          </rPr>
          <t>The Products options are;
Multi Shade
Roman Shade
Triple Shade</t>
        </r>
      </text>
    </comment>
    <comment ref="E28" authorId="0" shapeId="0" xr:uid="{00000000-0006-0000-0800-00005201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28" authorId="0" shapeId="0" xr:uid="{00000000-0006-0000-0800-000053010000}">
      <text>
        <r>
          <rPr>
            <sz val="8"/>
            <color indexed="81"/>
            <rFont val="Tahoma"/>
            <family val="2"/>
          </rPr>
          <t>The Colour can only be selected 
once the Product Type &amp; Finish has 
been entered.
Please refer to the Swatches.</t>
        </r>
      </text>
    </comment>
    <comment ref="G28" authorId="0" shapeId="0" xr:uid="{00000000-0006-0000-0800-00005401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8" authorId="0" shapeId="0" xr:uid="{00000000-0006-0000-0800-000055010000}">
      <text>
        <r>
          <rPr>
            <sz val="8"/>
            <color indexed="81"/>
            <rFont val="Tahoma"/>
            <family val="2"/>
          </rPr>
          <t xml:space="preserve">The Minimum Height/Drop is 300mm.
For the Multi Shade, 
Roman Shade &amp; 
Triple Shade options 
the Maximum Drop is 3000mm. </t>
        </r>
      </text>
    </comment>
    <comment ref="I28" authorId="0" shapeId="0" xr:uid="{00000000-0006-0000-0800-000056010000}">
      <text>
        <r>
          <rPr>
            <sz val="8"/>
            <color indexed="81"/>
            <rFont val="Tahoma"/>
            <family val="2"/>
          </rPr>
          <t>The Window Type 
options are;
Standard
Side By Side</t>
        </r>
      </text>
    </comment>
    <comment ref="J28" authorId="0" shapeId="0" xr:uid="{00000000-0006-0000-0800-000057010000}">
      <text>
        <r>
          <rPr>
            <sz val="8"/>
            <color indexed="81"/>
            <rFont val="Tahoma"/>
            <family val="2"/>
          </rPr>
          <t>The Fitting options are;
Face Fit
Recess Fit</t>
        </r>
      </text>
    </comment>
    <comment ref="K28" authorId="0" shapeId="0" xr:uid="{00000000-0006-0000-0800-00005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8" authorId="0" shapeId="0" xr:uid="{00000000-0006-0000-0800-000059010000}">
      <text>
        <r>
          <rPr>
            <sz val="8"/>
            <color indexed="81"/>
            <rFont val="Tahoma"/>
            <family val="2"/>
          </rPr>
          <t>The Head Box/Rail 
Colours are;
Default
Beige
Black
Dark Brown
Grey
Ivory
Light Brown
White</t>
        </r>
      </text>
    </comment>
    <comment ref="M28" authorId="0" shapeId="0" xr:uid="{00000000-0006-0000-0800-00005A01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28" authorId="0" shapeId="0" xr:uid="{00000000-0006-0000-0800-00005B010000}">
      <text>
        <r>
          <rPr>
            <sz val="8"/>
            <color indexed="81"/>
            <rFont val="Tahoma"/>
            <family val="2"/>
          </rPr>
          <t>The Control 
options are;
Left
Right</t>
        </r>
      </text>
    </comment>
    <comment ref="O28" authorId="0" shapeId="0" xr:uid="{00000000-0006-0000-0800-00005C010000}">
      <text>
        <r>
          <rPr>
            <sz val="8"/>
            <color indexed="81"/>
            <rFont val="Tahoma"/>
            <family val="2"/>
          </rPr>
          <t>The Chain Length 
options are; 
Default
500mm
750mm
1000mm
1250mm
1500mm
2000mm</t>
        </r>
      </text>
    </comment>
    <comment ref="P28" authorId="0" shapeId="0" xr:uid="{00000000-0006-0000-0800-00005D010000}">
      <text>
        <r>
          <rPr>
            <sz val="8"/>
            <color indexed="81"/>
            <rFont val="Tahoma"/>
            <family val="2"/>
          </rPr>
          <t>The Chain Colour 
options are;
Default
Stainless Steel
If Default is selected 
then the Chain Colour 
will be matched to the 
Head Box Colour.</t>
        </r>
      </text>
    </comment>
    <comment ref="Q28" authorId="0" shapeId="0" xr:uid="{00000000-0006-0000-0800-00005E010000}">
      <text>
        <r>
          <rPr>
            <sz val="8"/>
            <color indexed="81"/>
            <rFont val="Tahoma"/>
            <family val="2"/>
          </rPr>
          <t>For Multi Shade, 
Roman Shade and
Triple Shade,  
the  Fabric Insert  
options are;
No
Yes</t>
        </r>
      </text>
    </comment>
    <comment ref="R28" authorId="0" shapeId="0" xr:uid="{00000000-0006-0000-0800-00005F010000}">
      <text>
        <r>
          <rPr>
            <sz val="8"/>
            <color indexed="81"/>
            <rFont val="Tahoma"/>
            <family val="2"/>
          </rPr>
          <t>For Multi Shade, 
the options are;
Standard
Over Roll
For Roman Shade, 
the options are;
Over Roll
For Triple Shade, 
the options are;
Standard</t>
        </r>
      </text>
    </comment>
    <comment ref="T28" authorId="0" shapeId="0" xr:uid="{00000000-0006-0000-0800-000060010000}">
      <text>
        <r>
          <rPr>
            <sz val="8"/>
            <color indexed="81"/>
            <rFont val="Tahoma"/>
            <family val="2"/>
          </rPr>
          <t>Please use this section 
to specify 
any Special Requirements
for the Line/Order.</t>
        </r>
      </text>
    </comment>
    <comment ref="D29" authorId="0" shapeId="0" xr:uid="{00000000-0006-0000-0800-000061010000}">
      <text>
        <r>
          <rPr>
            <sz val="8"/>
            <color indexed="81"/>
            <rFont val="Tahoma"/>
            <family val="2"/>
          </rPr>
          <t>The Products options are;
Multi Shade
Roman Shade
Triple Shade</t>
        </r>
      </text>
    </comment>
    <comment ref="E29" authorId="0" shapeId="0" xr:uid="{00000000-0006-0000-0800-00006201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29" authorId="0" shapeId="0" xr:uid="{00000000-0006-0000-0800-000063010000}">
      <text>
        <r>
          <rPr>
            <sz val="8"/>
            <color indexed="81"/>
            <rFont val="Tahoma"/>
            <family val="2"/>
          </rPr>
          <t>The Colour can only be selected 
once the Product Type &amp; Finish has 
been entered.
Please refer to the Swatches.</t>
        </r>
      </text>
    </comment>
    <comment ref="G29" authorId="0" shapeId="0" xr:uid="{00000000-0006-0000-0800-00006401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9" authorId="0" shapeId="0" xr:uid="{00000000-0006-0000-0800-000065010000}">
      <text>
        <r>
          <rPr>
            <sz val="8"/>
            <color indexed="81"/>
            <rFont val="Tahoma"/>
            <family val="2"/>
          </rPr>
          <t xml:space="preserve">The Minimum Height/Drop is 300mm.
For the Multi Shade, 
Roman Shade &amp; 
Triple Shade options 
the Maximum Drop is 3000mm. </t>
        </r>
      </text>
    </comment>
    <comment ref="I29" authorId="0" shapeId="0" xr:uid="{00000000-0006-0000-0800-000066010000}">
      <text>
        <r>
          <rPr>
            <sz val="8"/>
            <color indexed="81"/>
            <rFont val="Tahoma"/>
            <family val="2"/>
          </rPr>
          <t>The Window Type 
options are;
Standard
Side By Side</t>
        </r>
      </text>
    </comment>
    <comment ref="J29" authorId="0" shapeId="0" xr:uid="{00000000-0006-0000-0800-000067010000}">
      <text>
        <r>
          <rPr>
            <sz val="8"/>
            <color indexed="81"/>
            <rFont val="Tahoma"/>
            <family val="2"/>
          </rPr>
          <t>The Fitting options are;
Face Fit
Recess Fit</t>
        </r>
      </text>
    </comment>
    <comment ref="K29" authorId="0" shapeId="0" xr:uid="{00000000-0006-0000-0800-00006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9" authorId="0" shapeId="0" xr:uid="{00000000-0006-0000-0800-000069010000}">
      <text>
        <r>
          <rPr>
            <sz val="8"/>
            <color indexed="81"/>
            <rFont val="Tahoma"/>
            <family val="2"/>
          </rPr>
          <t>The Head Box/Rail 
Colours are;
Default
Beige
Black
Dark Brown
Grey
Ivory
Light Brown
White</t>
        </r>
      </text>
    </comment>
    <comment ref="M29" authorId="0" shapeId="0" xr:uid="{00000000-0006-0000-0800-00006A01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29" authorId="0" shapeId="0" xr:uid="{00000000-0006-0000-0800-00006B010000}">
      <text>
        <r>
          <rPr>
            <sz val="8"/>
            <color indexed="81"/>
            <rFont val="Tahoma"/>
            <family val="2"/>
          </rPr>
          <t>The Control 
options are;
Left
Right</t>
        </r>
      </text>
    </comment>
    <comment ref="O29" authorId="0" shapeId="0" xr:uid="{00000000-0006-0000-0800-00006C010000}">
      <text>
        <r>
          <rPr>
            <sz val="8"/>
            <color indexed="81"/>
            <rFont val="Tahoma"/>
            <family val="2"/>
          </rPr>
          <t>The Chain Length 
options are; 
Default
500mm
750mm
1000mm
1250mm
1500mm
2000mm</t>
        </r>
      </text>
    </comment>
    <comment ref="P29" authorId="0" shapeId="0" xr:uid="{00000000-0006-0000-0800-00006D010000}">
      <text>
        <r>
          <rPr>
            <sz val="8"/>
            <color indexed="81"/>
            <rFont val="Tahoma"/>
            <family val="2"/>
          </rPr>
          <t>The Chain Colour 
options are;
Default
Stainless Steel
If Default is selected 
then the Chain Colour 
will be matched to the 
Head Box Colour.</t>
        </r>
      </text>
    </comment>
    <comment ref="Q29" authorId="0" shapeId="0" xr:uid="{00000000-0006-0000-0800-00006E010000}">
      <text>
        <r>
          <rPr>
            <sz val="8"/>
            <color indexed="81"/>
            <rFont val="Tahoma"/>
            <family val="2"/>
          </rPr>
          <t>For Multi Shade, 
Roman Shade and
Triple Shade,  
the  Fabric Insert  
options are;
No
Yes</t>
        </r>
      </text>
    </comment>
    <comment ref="R29" authorId="0" shapeId="0" xr:uid="{00000000-0006-0000-0800-00006F010000}">
      <text>
        <r>
          <rPr>
            <sz val="8"/>
            <color indexed="81"/>
            <rFont val="Tahoma"/>
            <family val="2"/>
          </rPr>
          <t>For Multi Shade, 
the options are;
Standard
Over Roll
For Roman Shade, 
the options are;
Over Roll
For Triple Shade, 
the options are;
Standard</t>
        </r>
      </text>
    </comment>
    <comment ref="T29" authorId="0" shapeId="0" xr:uid="{00000000-0006-0000-0800-000070010000}">
      <text>
        <r>
          <rPr>
            <sz val="8"/>
            <color indexed="81"/>
            <rFont val="Tahoma"/>
            <family val="2"/>
          </rPr>
          <t>Please use this section 
to specify 
any Special Requirements
for the Line/Order.</t>
        </r>
      </text>
    </comment>
    <comment ref="D30" authorId="0" shapeId="0" xr:uid="{00000000-0006-0000-0800-000071010000}">
      <text>
        <r>
          <rPr>
            <sz val="8"/>
            <color indexed="81"/>
            <rFont val="Tahoma"/>
            <family val="2"/>
          </rPr>
          <t>The Products options are;
Multi Shade
Roman Shade
Triple Shade</t>
        </r>
      </text>
    </comment>
    <comment ref="E30" authorId="0" shapeId="0" xr:uid="{00000000-0006-0000-0800-00007201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30" authorId="0" shapeId="0" xr:uid="{00000000-0006-0000-0800-000073010000}">
      <text>
        <r>
          <rPr>
            <sz val="8"/>
            <color indexed="81"/>
            <rFont val="Tahoma"/>
            <family val="2"/>
          </rPr>
          <t>The Colour can only be selected 
once the Product Type &amp; Finish has 
been entered.
Please refer to the Swatches.</t>
        </r>
      </text>
    </comment>
    <comment ref="G30" authorId="0" shapeId="0" xr:uid="{00000000-0006-0000-0800-00007401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0" authorId="0" shapeId="0" xr:uid="{00000000-0006-0000-0800-000075010000}">
      <text>
        <r>
          <rPr>
            <sz val="8"/>
            <color indexed="81"/>
            <rFont val="Tahoma"/>
            <family val="2"/>
          </rPr>
          <t xml:space="preserve">The Minimum Height/Drop is 300mm.
For the Multi Shade, 
Roman Shade &amp; 
Triple Shade options 
the Maximum Drop is 3000mm. </t>
        </r>
      </text>
    </comment>
    <comment ref="I30" authorId="0" shapeId="0" xr:uid="{00000000-0006-0000-0800-000076010000}">
      <text>
        <r>
          <rPr>
            <sz val="8"/>
            <color indexed="81"/>
            <rFont val="Tahoma"/>
            <family val="2"/>
          </rPr>
          <t>The Window Type 
options are;
Standard
Side By Side</t>
        </r>
      </text>
    </comment>
    <comment ref="J30" authorId="0" shapeId="0" xr:uid="{00000000-0006-0000-0800-000077010000}">
      <text>
        <r>
          <rPr>
            <sz val="8"/>
            <color indexed="81"/>
            <rFont val="Tahoma"/>
            <family val="2"/>
          </rPr>
          <t>The Fitting options are;
Face Fit
Recess Fit</t>
        </r>
      </text>
    </comment>
    <comment ref="K30" authorId="0" shapeId="0" xr:uid="{00000000-0006-0000-0800-00007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0" authorId="0" shapeId="0" xr:uid="{00000000-0006-0000-0800-000079010000}">
      <text>
        <r>
          <rPr>
            <sz val="8"/>
            <color indexed="81"/>
            <rFont val="Tahoma"/>
            <family val="2"/>
          </rPr>
          <t>The Head Box/Rail 
Colours are;
Default
Beige
Black
Dark Brown
Grey
Ivory
Light Brown
White</t>
        </r>
      </text>
    </comment>
    <comment ref="M30" authorId="0" shapeId="0" xr:uid="{00000000-0006-0000-0800-00007A01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30" authorId="0" shapeId="0" xr:uid="{00000000-0006-0000-0800-00007B010000}">
      <text>
        <r>
          <rPr>
            <sz val="8"/>
            <color indexed="81"/>
            <rFont val="Tahoma"/>
            <family val="2"/>
          </rPr>
          <t>The Control 
options are;
Left
Right</t>
        </r>
      </text>
    </comment>
    <comment ref="O30" authorId="0" shapeId="0" xr:uid="{00000000-0006-0000-0800-00007C010000}">
      <text>
        <r>
          <rPr>
            <sz val="8"/>
            <color indexed="81"/>
            <rFont val="Tahoma"/>
            <family val="2"/>
          </rPr>
          <t>The Chain Length 
options are; 
Default
500mm
750mm
1000mm
1250mm
1500mm
2000mm</t>
        </r>
      </text>
    </comment>
    <comment ref="P30" authorId="0" shapeId="0" xr:uid="{00000000-0006-0000-0800-00007D010000}">
      <text>
        <r>
          <rPr>
            <sz val="8"/>
            <color indexed="81"/>
            <rFont val="Tahoma"/>
            <family val="2"/>
          </rPr>
          <t>The Chain Colour 
options are;
Default
Stainless Steel
If Default is selected 
then the Chain Colour 
will be matched to the 
Head Box Colour.</t>
        </r>
      </text>
    </comment>
    <comment ref="Q30" authorId="0" shapeId="0" xr:uid="{00000000-0006-0000-0800-00007E010000}">
      <text>
        <r>
          <rPr>
            <sz val="8"/>
            <color indexed="81"/>
            <rFont val="Tahoma"/>
            <family val="2"/>
          </rPr>
          <t>For Multi Shade, 
Roman Shade and
Triple Shade,  
the  Fabric Insert  
options are;
No
Yes</t>
        </r>
      </text>
    </comment>
    <comment ref="R30" authorId="0" shapeId="0" xr:uid="{00000000-0006-0000-0800-00007F010000}">
      <text>
        <r>
          <rPr>
            <sz val="8"/>
            <color indexed="81"/>
            <rFont val="Tahoma"/>
            <family val="2"/>
          </rPr>
          <t>For Multi Shade, 
the options are;
Standard
Over Roll
For Roman Shade, 
the options are;
Over Roll
For Triple Shade, 
the options are;
Standard</t>
        </r>
      </text>
    </comment>
    <comment ref="T30" authorId="0" shapeId="0" xr:uid="{00000000-0006-0000-0800-000080010000}">
      <text>
        <r>
          <rPr>
            <sz val="8"/>
            <color indexed="81"/>
            <rFont val="Tahoma"/>
            <family val="2"/>
          </rPr>
          <t>Please use this section 
to specify 
any Special Requirements
for the Line/Order.</t>
        </r>
      </text>
    </comment>
    <comment ref="D31" authorId="0" shapeId="0" xr:uid="{00000000-0006-0000-0800-000081010000}">
      <text>
        <r>
          <rPr>
            <sz val="8"/>
            <color indexed="81"/>
            <rFont val="Tahoma"/>
            <family val="2"/>
          </rPr>
          <t>The Products options are;
Multi Shade
Roman Shade
Triple Shade</t>
        </r>
      </text>
    </comment>
    <comment ref="E31" authorId="0" shapeId="0" xr:uid="{00000000-0006-0000-0800-00008201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31" authorId="0" shapeId="0" xr:uid="{00000000-0006-0000-0800-000083010000}">
      <text>
        <r>
          <rPr>
            <sz val="8"/>
            <color indexed="81"/>
            <rFont val="Tahoma"/>
            <family val="2"/>
          </rPr>
          <t>The Colour can only be selected 
once the Product Type &amp; Finish has 
been entered.
Please refer to the Swatches.</t>
        </r>
      </text>
    </comment>
    <comment ref="G31" authorId="0" shapeId="0" xr:uid="{00000000-0006-0000-0800-00008401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1" authorId="0" shapeId="0" xr:uid="{00000000-0006-0000-0800-000085010000}">
      <text>
        <r>
          <rPr>
            <sz val="8"/>
            <color indexed="81"/>
            <rFont val="Tahoma"/>
            <family val="2"/>
          </rPr>
          <t xml:space="preserve">The Minimum Height/Drop is 300mm.
For the Multi Shade, 
Roman Shade &amp; 
Triple Shade options 
the Maximum Drop is 3000mm. </t>
        </r>
      </text>
    </comment>
    <comment ref="I31" authorId="0" shapeId="0" xr:uid="{00000000-0006-0000-0800-000086010000}">
      <text>
        <r>
          <rPr>
            <sz val="8"/>
            <color indexed="81"/>
            <rFont val="Tahoma"/>
            <family val="2"/>
          </rPr>
          <t>The Window Type 
options are;
Standard
Side By Side</t>
        </r>
      </text>
    </comment>
    <comment ref="J31" authorId="0" shapeId="0" xr:uid="{00000000-0006-0000-0800-000087010000}">
      <text>
        <r>
          <rPr>
            <sz val="8"/>
            <color indexed="81"/>
            <rFont val="Tahoma"/>
            <family val="2"/>
          </rPr>
          <t>The Fitting options are;
Face Fit
Recess Fit</t>
        </r>
      </text>
    </comment>
    <comment ref="K31" authorId="0" shapeId="0" xr:uid="{00000000-0006-0000-0800-00008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1" authorId="0" shapeId="0" xr:uid="{00000000-0006-0000-0800-000089010000}">
      <text>
        <r>
          <rPr>
            <sz val="8"/>
            <color indexed="81"/>
            <rFont val="Tahoma"/>
            <family val="2"/>
          </rPr>
          <t>The Head Box/Rail 
Colours are;
Default
Beige
Black
Dark Brown
Grey
Ivory
Light Brown
White</t>
        </r>
      </text>
    </comment>
    <comment ref="M31" authorId="0" shapeId="0" xr:uid="{00000000-0006-0000-0800-00008A01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31" authorId="0" shapeId="0" xr:uid="{00000000-0006-0000-0800-00008B010000}">
      <text>
        <r>
          <rPr>
            <sz val="8"/>
            <color indexed="81"/>
            <rFont val="Tahoma"/>
            <family val="2"/>
          </rPr>
          <t>The Control 
options are;
Left
Right</t>
        </r>
      </text>
    </comment>
    <comment ref="O31" authorId="0" shapeId="0" xr:uid="{00000000-0006-0000-0800-00008C010000}">
      <text>
        <r>
          <rPr>
            <sz val="8"/>
            <color indexed="81"/>
            <rFont val="Tahoma"/>
            <family val="2"/>
          </rPr>
          <t>The Chain Length 
options are; 
Default
500mm
750mm
1000mm
1250mm
1500mm
2000mm</t>
        </r>
      </text>
    </comment>
    <comment ref="P31" authorId="0" shapeId="0" xr:uid="{00000000-0006-0000-0800-00008D010000}">
      <text>
        <r>
          <rPr>
            <sz val="8"/>
            <color indexed="81"/>
            <rFont val="Tahoma"/>
            <family val="2"/>
          </rPr>
          <t>The Chain Colour 
options are;
Default
Stainless Steel
If Default is selected 
then the Chain Colour 
will be matched to the 
Head Box Colour.</t>
        </r>
      </text>
    </comment>
    <comment ref="Q31" authorId="0" shapeId="0" xr:uid="{00000000-0006-0000-0800-00008E010000}">
      <text>
        <r>
          <rPr>
            <sz val="8"/>
            <color indexed="81"/>
            <rFont val="Tahoma"/>
            <family val="2"/>
          </rPr>
          <t>For Multi Shade, 
Roman Shade and
Triple Shade,  
the  Fabric Insert  
options are;
No
Yes</t>
        </r>
      </text>
    </comment>
    <comment ref="R31" authorId="0" shapeId="0" xr:uid="{00000000-0006-0000-0800-00008F010000}">
      <text>
        <r>
          <rPr>
            <sz val="8"/>
            <color indexed="81"/>
            <rFont val="Tahoma"/>
            <family val="2"/>
          </rPr>
          <t>For Multi Shade, 
the options are;
Standard
Over Roll
For Roman Shade, 
the options are;
Over Roll
For Triple Shade, 
the options are;
Standard</t>
        </r>
      </text>
    </comment>
    <comment ref="T31" authorId="0" shapeId="0" xr:uid="{00000000-0006-0000-0800-000090010000}">
      <text>
        <r>
          <rPr>
            <sz val="8"/>
            <color indexed="81"/>
            <rFont val="Tahoma"/>
            <family val="2"/>
          </rPr>
          <t>Please use this section 
to specify 
any Special Requirements
for the Line/Order.</t>
        </r>
      </text>
    </comment>
    <comment ref="D32" authorId="0" shapeId="0" xr:uid="{00000000-0006-0000-0800-000091010000}">
      <text>
        <r>
          <rPr>
            <sz val="8"/>
            <color indexed="81"/>
            <rFont val="Tahoma"/>
            <family val="2"/>
          </rPr>
          <t>The Products options are;
Multi Shade
Roman Shade
Triple Shade</t>
        </r>
      </text>
    </comment>
    <comment ref="E32" authorId="0" shapeId="0" xr:uid="{00000000-0006-0000-0800-00009201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32" authorId="0" shapeId="0" xr:uid="{00000000-0006-0000-0800-000093010000}">
      <text>
        <r>
          <rPr>
            <sz val="8"/>
            <color indexed="81"/>
            <rFont val="Tahoma"/>
            <family val="2"/>
          </rPr>
          <t>The Colour can only be selected 
once the Product Type &amp; Finish has 
been entered.
Please refer to the Swatches.</t>
        </r>
      </text>
    </comment>
    <comment ref="G32" authorId="0" shapeId="0" xr:uid="{00000000-0006-0000-0800-00009401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2" authorId="0" shapeId="0" xr:uid="{00000000-0006-0000-0800-000095010000}">
      <text>
        <r>
          <rPr>
            <sz val="8"/>
            <color indexed="81"/>
            <rFont val="Tahoma"/>
            <family val="2"/>
          </rPr>
          <t xml:space="preserve">The Minimum Height/Drop is 300mm.
For the Multi Shade, 
Roman Shade &amp; 
Triple Shade options 
the Maximum Drop is 3000mm. </t>
        </r>
      </text>
    </comment>
    <comment ref="I32" authorId="0" shapeId="0" xr:uid="{00000000-0006-0000-0800-000096010000}">
      <text>
        <r>
          <rPr>
            <sz val="8"/>
            <color indexed="81"/>
            <rFont val="Tahoma"/>
            <family val="2"/>
          </rPr>
          <t>The Window Type 
options are;
Standard
Side By Side</t>
        </r>
      </text>
    </comment>
    <comment ref="J32" authorId="0" shapeId="0" xr:uid="{00000000-0006-0000-0800-000097010000}">
      <text>
        <r>
          <rPr>
            <sz val="8"/>
            <color indexed="81"/>
            <rFont val="Tahoma"/>
            <family val="2"/>
          </rPr>
          <t>The Fitting options are;
Face Fit
Recess Fit</t>
        </r>
      </text>
    </comment>
    <comment ref="K32" authorId="0" shapeId="0" xr:uid="{00000000-0006-0000-0800-00009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2" authorId="0" shapeId="0" xr:uid="{00000000-0006-0000-0800-000099010000}">
      <text>
        <r>
          <rPr>
            <sz val="8"/>
            <color indexed="81"/>
            <rFont val="Tahoma"/>
            <family val="2"/>
          </rPr>
          <t>The Head Box/Rail 
Colours are;
Default
Beige
Black
Dark Brown
Grey
Ivory
Light Brown
White</t>
        </r>
      </text>
    </comment>
    <comment ref="M32" authorId="0" shapeId="0" xr:uid="{00000000-0006-0000-0800-00009A01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32" authorId="0" shapeId="0" xr:uid="{00000000-0006-0000-0800-00009B010000}">
      <text>
        <r>
          <rPr>
            <sz val="8"/>
            <color indexed="81"/>
            <rFont val="Tahoma"/>
            <family val="2"/>
          </rPr>
          <t>The Control 
options are;
Left
Right</t>
        </r>
      </text>
    </comment>
    <comment ref="O32" authorId="0" shapeId="0" xr:uid="{00000000-0006-0000-0800-00009C010000}">
      <text>
        <r>
          <rPr>
            <sz val="8"/>
            <color indexed="81"/>
            <rFont val="Tahoma"/>
            <family val="2"/>
          </rPr>
          <t>The Chain Length 
options are; 
Default
500mm
750mm
1000mm
1250mm
1500mm
2000mm</t>
        </r>
      </text>
    </comment>
    <comment ref="P32" authorId="0" shapeId="0" xr:uid="{00000000-0006-0000-0800-00009D010000}">
      <text>
        <r>
          <rPr>
            <sz val="8"/>
            <color indexed="81"/>
            <rFont val="Tahoma"/>
            <family val="2"/>
          </rPr>
          <t>The Chain Colour 
options are;
Default
Stainless Steel
If Default is selected 
then the Chain Colour 
will be matched to the 
Head Box Colour.</t>
        </r>
      </text>
    </comment>
    <comment ref="Q32" authorId="0" shapeId="0" xr:uid="{00000000-0006-0000-0800-00009E010000}">
      <text>
        <r>
          <rPr>
            <sz val="8"/>
            <color indexed="81"/>
            <rFont val="Tahoma"/>
            <family val="2"/>
          </rPr>
          <t>For Multi Shade, 
Roman Shade and
Triple Shade,  
the  Fabric Insert  
options are;
No
Yes</t>
        </r>
      </text>
    </comment>
    <comment ref="R32" authorId="0" shapeId="0" xr:uid="{00000000-0006-0000-0800-00009F010000}">
      <text>
        <r>
          <rPr>
            <sz val="8"/>
            <color indexed="81"/>
            <rFont val="Tahoma"/>
            <family val="2"/>
          </rPr>
          <t>For Multi Shade, 
the options are;
Standard
Over Roll
For Roman Shade, 
the options are;
Over Roll
For Triple Shade, 
the options are;
Standard</t>
        </r>
      </text>
    </comment>
    <comment ref="T32" authorId="0" shapeId="0" xr:uid="{00000000-0006-0000-0800-0000A0010000}">
      <text>
        <r>
          <rPr>
            <sz val="8"/>
            <color indexed="81"/>
            <rFont val="Tahoma"/>
            <family val="2"/>
          </rPr>
          <t>Please use this section 
to specify 
any Special Requirements
for the Line/Order.</t>
        </r>
      </text>
    </comment>
    <comment ref="D33" authorId="0" shapeId="0" xr:uid="{00000000-0006-0000-0800-0000A1010000}">
      <text>
        <r>
          <rPr>
            <sz val="8"/>
            <color indexed="81"/>
            <rFont val="Tahoma"/>
            <family val="2"/>
          </rPr>
          <t>The Products options are;
Multi Shade
Roman Shade
Triple Shade</t>
        </r>
      </text>
    </comment>
    <comment ref="E33" authorId="0" shapeId="0" xr:uid="{00000000-0006-0000-0800-0000A201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33" authorId="0" shapeId="0" xr:uid="{00000000-0006-0000-0800-0000A3010000}">
      <text>
        <r>
          <rPr>
            <sz val="8"/>
            <color indexed="81"/>
            <rFont val="Tahoma"/>
            <family val="2"/>
          </rPr>
          <t>The Colour can only be selected 
once the Product Type &amp; Finish has 
been entered.
Please refer to the Swatches.</t>
        </r>
      </text>
    </comment>
    <comment ref="G33" authorId="0" shapeId="0" xr:uid="{00000000-0006-0000-0800-0000A401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3" authorId="0" shapeId="0" xr:uid="{00000000-0006-0000-0800-0000A5010000}">
      <text>
        <r>
          <rPr>
            <sz val="8"/>
            <color indexed="81"/>
            <rFont val="Tahoma"/>
            <family val="2"/>
          </rPr>
          <t xml:space="preserve">The Minimum Height/Drop is 300mm.
For the Multi Shade, 
Roman Shade &amp; 
Triple Shade options 
the Maximum Drop is 3000mm. </t>
        </r>
      </text>
    </comment>
    <comment ref="I33" authorId="0" shapeId="0" xr:uid="{00000000-0006-0000-0800-0000A6010000}">
      <text>
        <r>
          <rPr>
            <sz val="8"/>
            <color indexed="81"/>
            <rFont val="Tahoma"/>
            <family val="2"/>
          </rPr>
          <t>The Window Type 
options are;
Standard
Side By Side</t>
        </r>
      </text>
    </comment>
    <comment ref="J33" authorId="0" shapeId="0" xr:uid="{00000000-0006-0000-0800-0000A7010000}">
      <text>
        <r>
          <rPr>
            <sz val="8"/>
            <color indexed="81"/>
            <rFont val="Tahoma"/>
            <family val="2"/>
          </rPr>
          <t>The Fitting options are;
Face Fit
Recess Fit</t>
        </r>
      </text>
    </comment>
    <comment ref="K33" authorId="0" shapeId="0" xr:uid="{00000000-0006-0000-0800-0000A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3" authorId="0" shapeId="0" xr:uid="{00000000-0006-0000-0800-0000A9010000}">
      <text>
        <r>
          <rPr>
            <sz val="8"/>
            <color indexed="81"/>
            <rFont val="Tahoma"/>
            <family val="2"/>
          </rPr>
          <t>The Head Box/Rail 
Colours are;
Default
Beige
Black
Dark Brown
Grey
Ivory
Light Brown
White</t>
        </r>
      </text>
    </comment>
    <comment ref="M33" authorId="0" shapeId="0" xr:uid="{00000000-0006-0000-0800-0000AA01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33" authorId="0" shapeId="0" xr:uid="{00000000-0006-0000-0800-0000AB010000}">
      <text>
        <r>
          <rPr>
            <sz val="8"/>
            <color indexed="81"/>
            <rFont val="Tahoma"/>
            <family val="2"/>
          </rPr>
          <t>The Control 
options are;
Left
Right</t>
        </r>
      </text>
    </comment>
    <comment ref="O33" authorId="0" shapeId="0" xr:uid="{00000000-0006-0000-0800-0000AC010000}">
      <text>
        <r>
          <rPr>
            <sz val="8"/>
            <color indexed="81"/>
            <rFont val="Tahoma"/>
            <family val="2"/>
          </rPr>
          <t>The Chain Length 
options are; 
Default
500mm
750mm
1000mm
1250mm
1500mm
2000mm</t>
        </r>
      </text>
    </comment>
    <comment ref="P33" authorId="0" shapeId="0" xr:uid="{00000000-0006-0000-0800-0000AD010000}">
      <text>
        <r>
          <rPr>
            <sz val="8"/>
            <color indexed="81"/>
            <rFont val="Tahoma"/>
            <family val="2"/>
          </rPr>
          <t>The Chain Colour 
options are;
Default
Stainless Steel
If Default is selected 
then the Chain Colour 
will be matched to the 
Head Box Colour.</t>
        </r>
      </text>
    </comment>
    <comment ref="Q33" authorId="0" shapeId="0" xr:uid="{00000000-0006-0000-0800-0000AE010000}">
      <text>
        <r>
          <rPr>
            <sz val="8"/>
            <color indexed="81"/>
            <rFont val="Tahoma"/>
            <family val="2"/>
          </rPr>
          <t>For Multi Shade, 
Roman Shade and
Triple Shade,  
the  Fabric Insert  
options are;
No
Yes</t>
        </r>
      </text>
    </comment>
    <comment ref="R33" authorId="0" shapeId="0" xr:uid="{00000000-0006-0000-0800-0000AF010000}">
      <text>
        <r>
          <rPr>
            <sz val="8"/>
            <color indexed="81"/>
            <rFont val="Tahoma"/>
            <family val="2"/>
          </rPr>
          <t>For Multi Shade, 
the options are;
Standard
Over Roll
For Roman Shade, 
the options are;
Over Roll
For Triple Shade, 
the options are;
Standard</t>
        </r>
      </text>
    </comment>
    <comment ref="T33" authorId="0" shapeId="0" xr:uid="{00000000-0006-0000-0800-0000B0010000}">
      <text>
        <r>
          <rPr>
            <sz val="8"/>
            <color indexed="81"/>
            <rFont val="Tahoma"/>
            <family val="2"/>
          </rPr>
          <t>Please use this section 
to specify 
any Special Requirements
for the Line/Order.</t>
        </r>
      </text>
    </comment>
    <comment ref="D34" authorId="0" shapeId="0" xr:uid="{00000000-0006-0000-0800-0000B1010000}">
      <text>
        <r>
          <rPr>
            <sz val="8"/>
            <color indexed="81"/>
            <rFont val="Tahoma"/>
            <family val="2"/>
          </rPr>
          <t>The Products options are;
Multi Shade
Roman Shade
Triple Shade</t>
        </r>
      </text>
    </comment>
    <comment ref="E34" authorId="0" shapeId="0" xr:uid="{00000000-0006-0000-0800-0000B201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34" authorId="0" shapeId="0" xr:uid="{00000000-0006-0000-0800-0000B3010000}">
      <text>
        <r>
          <rPr>
            <sz val="8"/>
            <color indexed="81"/>
            <rFont val="Tahoma"/>
            <family val="2"/>
          </rPr>
          <t>The Colour can only be selected 
once the Product Type &amp; Finish has 
been entered.
Please refer to the Swatches.</t>
        </r>
      </text>
    </comment>
    <comment ref="G34" authorId="0" shapeId="0" xr:uid="{00000000-0006-0000-0800-0000B401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4" authorId="0" shapeId="0" xr:uid="{00000000-0006-0000-0800-0000B5010000}">
      <text>
        <r>
          <rPr>
            <sz val="8"/>
            <color indexed="81"/>
            <rFont val="Tahoma"/>
            <family val="2"/>
          </rPr>
          <t xml:space="preserve">The Minimum Height/Drop is 300mm.
For the Multi Shade, 
Roman Shade &amp; 
Triple Shade options 
the Maximum Drop is 3000mm. </t>
        </r>
      </text>
    </comment>
    <comment ref="I34" authorId="0" shapeId="0" xr:uid="{00000000-0006-0000-0800-0000B6010000}">
      <text>
        <r>
          <rPr>
            <sz val="8"/>
            <color indexed="81"/>
            <rFont val="Tahoma"/>
            <family val="2"/>
          </rPr>
          <t>The Window Type 
options are;
Standard
Side By Side</t>
        </r>
      </text>
    </comment>
    <comment ref="J34" authorId="0" shapeId="0" xr:uid="{00000000-0006-0000-0800-0000B7010000}">
      <text>
        <r>
          <rPr>
            <sz val="8"/>
            <color indexed="81"/>
            <rFont val="Tahoma"/>
            <family val="2"/>
          </rPr>
          <t>The Fitting options are;
Face Fit
Recess Fit</t>
        </r>
      </text>
    </comment>
    <comment ref="K34" authorId="0" shapeId="0" xr:uid="{00000000-0006-0000-0800-0000B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4" authorId="0" shapeId="0" xr:uid="{00000000-0006-0000-0800-0000B9010000}">
      <text>
        <r>
          <rPr>
            <sz val="8"/>
            <color indexed="81"/>
            <rFont val="Tahoma"/>
            <family val="2"/>
          </rPr>
          <t>The Head Box/Rail 
Colours are;
Default
Beige
Black
Dark Brown
Grey
Ivory
Light Brown
White</t>
        </r>
      </text>
    </comment>
    <comment ref="M34" authorId="0" shapeId="0" xr:uid="{00000000-0006-0000-0800-0000BA01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34" authorId="0" shapeId="0" xr:uid="{00000000-0006-0000-0800-0000BB010000}">
      <text>
        <r>
          <rPr>
            <sz val="8"/>
            <color indexed="81"/>
            <rFont val="Tahoma"/>
            <family val="2"/>
          </rPr>
          <t>The Control 
options are;
Left
Right</t>
        </r>
      </text>
    </comment>
    <comment ref="O34" authorId="0" shapeId="0" xr:uid="{00000000-0006-0000-0800-0000BC010000}">
      <text>
        <r>
          <rPr>
            <sz val="8"/>
            <color indexed="81"/>
            <rFont val="Tahoma"/>
            <family val="2"/>
          </rPr>
          <t>The Chain Length 
options are; 
Default
500mm
750mm
1000mm
1250mm
1500mm
2000mm</t>
        </r>
      </text>
    </comment>
    <comment ref="P34" authorId="0" shapeId="0" xr:uid="{00000000-0006-0000-0800-0000BD010000}">
      <text>
        <r>
          <rPr>
            <sz val="8"/>
            <color indexed="81"/>
            <rFont val="Tahoma"/>
            <family val="2"/>
          </rPr>
          <t>The Chain Colour 
options are;
Default
Stainless Steel
If Default is selected 
then the Chain Colour 
will be matched to the 
Head Box Colour.</t>
        </r>
      </text>
    </comment>
    <comment ref="Q34" authorId="0" shapeId="0" xr:uid="{00000000-0006-0000-0800-0000BE010000}">
      <text>
        <r>
          <rPr>
            <sz val="8"/>
            <color indexed="81"/>
            <rFont val="Tahoma"/>
            <family val="2"/>
          </rPr>
          <t>For Multi Shade, 
Roman Shade and
Triple Shade,  
the  Fabric Insert  
options are;
No
Yes</t>
        </r>
      </text>
    </comment>
    <comment ref="R34" authorId="0" shapeId="0" xr:uid="{00000000-0006-0000-0800-0000BF010000}">
      <text>
        <r>
          <rPr>
            <sz val="8"/>
            <color indexed="81"/>
            <rFont val="Tahoma"/>
            <family val="2"/>
          </rPr>
          <t>For Multi Shade, 
the options are;
Standard
Over Roll
For Roman Shade, 
the options are;
Over Roll
For Triple Shade, 
the options are;
Standard</t>
        </r>
      </text>
    </comment>
    <comment ref="T34" authorId="0" shapeId="0" xr:uid="{00000000-0006-0000-0800-0000C0010000}">
      <text>
        <r>
          <rPr>
            <sz val="8"/>
            <color indexed="81"/>
            <rFont val="Tahoma"/>
            <family val="2"/>
          </rPr>
          <t>Please use this section 
to specify 
any Special Requirements
for the Line/Order.</t>
        </r>
      </text>
    </comment>
    <comment ref="D35" authorId="0" shapeId="0" xr:uid="{00000000-0006-0000-0800-0000C1010000}">
      <text>
        <r>
          <rPr>
            <sz val="8"/>
            <color indexed="81"/>
            <rFont val="Tahoma"/>
            <family val="2"/>
          </rPr>
          <t>The Products options are;
Multi Shade
Roman Shade
Triple Shade</t>
        </r>
      </text>
    </comment>
    <comment ref="E35" authorId="0" shapeId="0" xr:uid="{00000000-0006-0000-0800-0000C201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35" authorId="0" shapeId="0" xr:uid="{00000000-0006-0000-0800-0000C3010000}">
      <text>
        <r>
          <rPr>
            <sz val="8"/>
            <color indexed="81"/>
            <rFont val="Tahoma"/>
            <family val="2"/>
          </rPr>
          <t>The Colour can only be selected 
once the Product Type &amp; Finish has 
been entered.
Please refer to the Swatches.</t>
        </r>
      </text>
    </comment>
    <comment ref="G35" authorId="0" shapeId="0" xr:uid="{00000000-0006-0000-0800-0000C401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5" authorId="0" shapeId="0" xr:uid="{00000000-0006-0000-0800-0000C5010000}">
      <text>
        <r>
          <rPr>
            <sz val="8"/>
            <color indexed="81"/>
            <rFont val="Tahoma"/>
            <family val="2"/>
          </rPr>
          <t xml:space="preserve">The Minimum Height/Drop is 300mm.
For the Multi Shade, 
Roman Shade &amp; 
Triple Shade options 
the Maximum Drop is 3000mm. </t>
        </r>
      </text>
    </comment>
    <comment ref="I35" authorId="0" shapeId="0" xr:uid="{00000000-0006-0000-0800-0000C6010000}">
      <text>
        <r>
          <rPr>
            <sz val="8"/>
            <color indexed="81"/>
            <rFont val="Tahoma"/>
            <family val="2"/>
          </rPr>
          <t>The Window Type 
options are;
Standard
Side By Side</t>
        </r>
      </text>
    </comment>
    <comment ref="J35" authorId="0" shapeId="0" xr:uid="{00000000-0006-0000-0800-0000C7010000}">
      <text>
        <r>
          <rPr>
            <sz val="8"/>
            <color indexed="81"/>
            <rFont val="Tahoma"/>
            <family val="2"/>
          </rPr>
          <t>The Fitting options are;
Face Fit
Recess Fit</t>
        </r>
      </text>
    </comment>
    <comment ref="K35" authorId="0" shapeId="0" xr:uid="{00000000-0006-0000-0800-0000C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5" authorId="0" shapeId="0" xr:uid="{00000000-0006-0000-0800-0000C9010000}">
      <text>
        <r>
          <rPr>
            <sz val="8"/>
            <color indexed="81"/>
            <rFont val="Tahoma"/>
            <family val="2"/>
          </rPr>
          <t>The Head Box/Rail 
Colours are;
Default
Beige
Black
Dark Brown
Grey
Ivory
Light Brown
White</t>
        </r>
      </text>
    </comment>
    <comment ref="M35" authorId="0" shapeId="0" xr:uid="{00000000-0006-0000-0800-0000CA01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35" authorId="0" shapeId="0" xr:uid="{00000000-0006-0000-0800-0000CB010000}">
      <text>
        <r>
          <rPr>
            <sz val="8"/>
            <color indexed="81"/>
            <rFont val="Tahoma"/>
            <family val="2"/>
          </rPr>
          <t>The Control 
options are;
Left
Right</t>
        </r>
      </text>
    </comment>
    <comment ref="O35" authorId="0" shapeId="0" xr:uid="{00000000-0006-0000-0800-0000CC010000}">
      <text>
        <r>
          <rPr>
            <sz val="8"/>
            <color indexed="81"/>
            <rFont val="Tahoma"/>
            <family val="2"/>
          </rPr>
          <t>The Chain Length 
options are; 
Default
500mm
750mm
1000mm
1250mm
1500mm
2000mm</t>
        </r>
      </text>
    </comment>
    <comment ref="P35" authorId="0" shapeId="0" xr:uid="{00000000-0006-0000-0800-0000CD010000}">
      <text>
        <r>
          <rPr>
            <sz val="8"/>
            <color indexed="81"/>
            <rFont val="Tahoma"/>
            <family val="2"/>
          </rPr>
          <t>The Chain Colour 
options are;
Default
Stainless Steel
If Default is selected 
then the Chain Colour 
will be matched to the 
Head Box Colour.</t>
        </r>
      </text>
    </comment>
    <comment ref="Q35" authorId="0" shapeId="0" xr:uid="{00000000-0006-0000-0800-0000CE010000}">
      <text>
        <r>
          <rPr>
            <sz val="8"/>
            <color indexed="81"/>
            <rFont val="Tahoma"/>
            <family val="2"/>
          </rPr>
          <t>For Multi Shade, 
Roman Shade and
Triple Shade,  
the  Fabric Insert  
options are;
No
Yes</t>
        </r>
      </text>
    </comment>
    <comment ref="R35" authorId="0" shapeId="0" xr:uid="{00000000-0006-0000-0800-0000CF010000}">
      <text>
        <r>
          <rPr>
            <sz val="8"/>
            <color indexed="81"/>
            <rFont val="Tahoma"/>
            <family val="2"/>
          </rPr>
          <t>For Multi Shade, 
the options are;
Standard
Over Roll
For Roman Shade, 
the options are;
Over Roll
For Triple Shade, 
the options are;
Standard</t>
        </r>
      </text>
    </comment>
    <comment ref="T35" authorId="0" shapeId="0" xr:uid="{00000000-0006-0000-0800-0000D0010000}">
      <text>
        <r>
          <rPr>
            <sz val="8"/>
            <color indexed="81"/>
            <rFont val="Tahoma"/>
            <family val="2"/>
          </rPr>
          <t>Please use this section 
to specify 
any Special Requirements
for the Line/Order.</t>
        </r>
      </text>
    </comment>
    <comment ref="D36" authorId="0" shapeId="0" xr:uid="{00000000-0006-0000-0800-0000D1010000}">
      <text>
        <r>
          <rPr>
            <sz val="8"/>
            <color indexed="81"/>
            <rFont val="Tahoma"/>
            <family val="2"/>
          </rPr>
          <t>The Products options are;
Multi Shade
Roman Shade
Triple Shade</t>
        </r>
      </text>
    </comment>
    <comment ref="E36" authorId="0" shapeId="0" xr:uid="{00000000-0006-0000-0800-0000D201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36" authorId="0" shapeId="0" xr:uid="{00000000-0006-0000-0800-0000D3010000}">
      <text>
        <r>
          <rPr>
            <sz val="8"/>
            <color indexed="81"/>
            <rFont val="Tahoma"/>
            <family val="2"/>
          </rPr>
          <t>The Colour can only be selected 
once the Product Type &amp; Finish has 
been entered.
Please refer to the Swatches.</t>
        </r>
      </text>
    </comment>
    <comment ref="G36" authorId="0" shapeId="0" xr:uid="{00000000-0006-0000-0800-0000D401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6" authorId="0" shapeId="0" xr:uid="{00000000-0006-0000-0800-0000D5010000}">
      <text>
        <r>
          <rPr>
            <sz val="8"/>
            <color indexed="81"/>
            <rFont val="Tahoma"/>
            <family val="2"/>
          </rPr>
          <t xml:space="preserve">The Minimum Height/Drop is 300mm.
For the Multi Shade, 
Roman Shade &amp; 
Triple Shade options 
the Maximum Drop is 3000mm. </t>
        </r>
      </text>
    </comment>
    <comment ref="I36" authorId="0" shapeId="0" xr:uid="{00000000-0006-0000-0800-0000D6010000}">
      <text>
        <r>
          <rPr>
            <sz val="8"/>
            <color indexed="81"/>
            <rFont val="Tahoma"/>
            <family val="2"/>
          </rPr>
          <t>The Window Type 
options are;
Standard
Side By Side</t>
        </r>
      </text>
    </comment>
    <comment ref="J36" authorId="0" shapeId="0" xr:uid="{00000000-0006-0000-0800-0000D7010000}">
      <text>
        <r>
          <rPr>
            <sz val="8"/>
            <color indexed="81"/>
            <rFont val="Tahoma"/>
            <family val="2"/>
          </rPr>
          <t>The Fitting options are;
Face Fit
Recess Fit</t>
        </r>
      </text>
    </comment>
    <comment ref="K36" authorId="0" shapeId="0" xr:uid="{00000000-0006-0000-0800-0000D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6" authorId="0" shapeId="0" xr:uid="{00000000-0006-0000-0800-0000D9010000}">
      <text>
        <r>
          <rPr>
            <sz val="8"/>
            <color indexed="81"/>
            <rFont val="Tahoma"/>
            <family val="2"/>
          </rPr>
          <t>The Head Box/Rail 
Colours are;
Default
Beige
Black
Dark Brown
Grey
Ivory
Light Brown
White</t>
        </r>
      </text>
    </comment>
    <comment ref="M36" authorId="0" shapeId="0" xr:uid="{00000000-0006-0000-0800-0000DA01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36" authorId="0" shapeId="0" xr:uid="{00000000-0006-0000-0800-0000DB010000}">
      <text>
        <r>
          <rPr>
            <sz val="8"/>
            <color indexed="81"/>
            <rFont val="Tahoma"/>
            <family val="2"/>
          </rPr>
          <t>The Control 
options are;
Left
Right</t>
        </r>
      </text>
    </comment>
    <comment ref="O36" authorId="0" shapeId="0" xr:uid="{00000000-0006-0000-0800-0000DC010000}">
      <text>
        <r>
          <rPr>
            <sz val="8"/>
            <color indexed="81"/>
            <rFont val="Tahoma"/>
            <family val="2"/>
          </rPr>
          <t>The Chain Length 
options are; 
Default
500mm
750mm
1000mm
1250mm
1500mm
2000mm</t>
        </r>
      </text>
    </comment>
    <comment ref="P36" authorId="0" shapeId="0" xr:uid="{00000000-0006-0000-0800-0000DD010000}">
      <text>
        <r>
          <rPr>
            <sz val="8"/>
            <color indexed="81"/>
            <rFont val="Tahoma"/>
            <family val="2"/>
          </rPr>
          <t>The Chain Colour 
options are;
Default
Stainless Steel
If Default is selected 
then the Chain Colour 
will be matched to the 
Head Box Colour.</t>
        </r>
      </text>
    </comment>
    <comment ref="Q36" authorId="0" shapeId="0" xr:uid="{00000000-0006-0000-0800-0000DE010000}">
      <text>
        <r>
          <rPr>
            <sz val="8"/>
            <color indexed="81"/>
            <rFont val="Tahoma"/>
            <family val="2"/>
          </rPr>
          <t>For Multi Shade, 
Roman Shade and
Triple Shade,  
the  Fabric Insert  
options are;
No
Yes</t>
        </r>
      </text>
    </comment>
    <comment ref="R36" authorId="0" shapeId="0" xr:uid="{00000000-0006-0000-0800-0000DF010000}">
      <text>
        <r>
          <rPr>
            <sz val="8"/>
            <color indexed="81"/>
            <rFont val="Tahoma"/>
            <family val="2"/>
          </rPr>
          <t>For Multi Shade, 
the options are;
Standard
Over Roll
For Roman Shade, 
the options are;
Over Roll
For Triple Shade, 
the options are;
Standard</t>
        </r>
      </text>
    </comment>
    <comment ref="T36" authorId="0" shapeId="0" xr:uid="{00000000-0006-0000-0800-0000E0010000}">
      <text>
        <r>
          <rPr>
            <sz val="8"/>
            <color indexed="81"/>
            <rFont val="Tahoma"/>
            <family val="2"/>
          </rPr>
          <t>Please use this section 
to specify 
any Special Requirements
for the Line/Order.</t>
        </r>
      </text>
    </comment>
    <comment ref="D37" authorId="0" shapeId="0" xr:uid="{00000000-0006-0000-0800-0000E1010000}">
      <text>
        <r>
          <rPr>
            <sz val="8"/>
            <color indexed="81"/>
            <rFont val="Tahoma"/>
            <family val="2"/>
          </rPr>
          <t>The Products options are;
Multi Shade
Roman Shade
Triple Shade</t>
        </r>
      </text>
    </comment>
    <comment ref="E37" authorId="0" shapeId="0" xr:uid="{00000000-0006-0000-0800-0000E201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37" authorId="0" shapeId="0" xr:uid="{00000000-0006-0000-0800-0000E3010000}">
      <text>
        <r>
          <rPr>
            <sz val="8"/>
            <color indexed="81"/>
            <rFont val="Tahoma"/>
            <family val="2"/>
          </rPr>
          <t>The Colour can only be selected 
once the Product Type &amp; Finish has 
been entered.
Please refer to the Swatches.</t>
        </r>
      </text>
    </comment>
    <comment ref="G37" authorId="0" shapeId="0" xr:uid="{00000000-0006-0000-0800-0000E401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7" authorId="0" shapeId="0" xr:uid="{00000000-0006-0000-0800-0000E5010000}">
      <text>
        <r>
          <rPr>
            <sz val="8"/>
            <color indexed="81"/>
            <rFont val="Tahoma"/>
            <family val="2"/>
          </rPr>
          <t xml:space="preserve">The Minimum Height/Drop is 300mm.
For the Multi Shade, 
Roman Shade &amp; 
Triple Shade options 
the Maximum Drop is 3000mm. </t>
        </r>
      </text>
    </comment>
    <comment ref="I37" authorId="0" shapeId="0" xr:uid="{00000000-0006-0000-0800-0000E6010000}">
      <text>
        <r>
          <rPr>
            <sz val="8"/>
            <color indexed="81"/>
            <rFont val="Tahoma"/>
            <family val="2"/>
          </rPr>
          <t>The Window Type 
options are;
Standard
Side By Side</t>
        </r>
      </text>
    </comment>
    <comment ref="J37" authorId="0" shapeId="0" xr:uid="{00000000-0006-0000-0800-0000E7010000}">
      <text>
        <r>
          <rPr>
            <sz val="8"/>
            <color indexed="81"/>
            <rFont val="Tahoma"/>
            <family val="2"/>
          </rPr>
          <t>The Fitting options are;
Face Fit
Recess Fit</t>
        </r>
      </text>
    </comment>
    <comment ref="K37" authorId="0" shapeId="0" xr:uid="{00000000-0006-0000-0800-0000E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7" authorId="0" shapeId="0" xr:uid="{00000000-0006-0000-0800-0000E9010000}">
      <text>
        <r>
          <rPr>
            <sz val="8"/>
            <color indexed="81"/>
            <rFont val="Tahoma"/>
            <family val="2"/>
          </rPr>
          <t>The Head Box/Rail 
Colours are;
Default
Beige
Black
Dark Brown
Grey
Ivory
Light Brown
White</t>
        </r>
      </text>
    </comment>
    <comment ref="M37" authorId="0" shapeId="0" xr:uid="{00000000-0006-0000-0800-0000EA01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37" authorId="0" shapeId="0" xr:uid="{00000000-0006-0000-0800-0000EB010000}">
      <text>
        <r>
          <rPr>
            <sz val="8"/>
            <color indexed="81"/>
            <rFont val="Tahoma"/>
            <family val="2"/>
          </rPr>
          <t>The Control 
options are;
Left
Right</t>
        </r>
      </text>
    </comment>
    <comment ref="O37" authorId="0" shapeId="0" xr:uid="{00000000-0006-0000-0800-0000EC010000}">
      <text>
        <r>
          <rPr>
            <sz val="8"/>
            <color indexed="81"/>
            <rFont val="Tahoma"/>
            <family val="2"/>
          </rPr>
          <t>The Chain Length 
options are; 
Default
500mm
750mm
1000mm
1250mm
1500mm
2000mm</t>
        </r>
      </text>
    </comment>
    <comment ref="P37" authorId="0" shapeId="0" xr:uid="{00000000-0006-0000-0800-0000ED010000}">
      <text>
        <r>
          <rPr>
            <sz val="8"/>
            <color indexed="81"/>
            <rFont val="Tahoma"/>
            <family val="2"/>
          </rPr>
          <t>The Chain Colour 
options are;
Default
Stainless Steel
If Default is selected 
then the Chain Colour 
will be matched to the 
Head Box Colour.</t>
        </r>
      </text>
    </comment>
    <comment ref="Q37" authorId="0" shapeId="0" xr:uid="{00000000-0006-0000-0800-0000EE010000}">
      <text>
        <r>
          <rPr>
            <sz val="8"/>
            <color indexed="81"/>
            <rFont val="Tahoma"/>
            <family val="2"/>
          </rPr>
          <t>For Multi Shade, 
Roman Shade and
Triple Shade,  
the  Fabric Insert  
options are;
No
Yes</t>
        </r>
      </text>
    </comment>
    <comment ref="R37" authorId="0" shapeId="0" xr:uid="{00000000-0006-0000-0800-0000EF010000}">
      <text>
        <r>
          <rPr>
            <sz val="8"/>
            <color indexed="81"/>
            <rFont val="Tahoma"/>
            <family val="2"/>
          </rPr>
          <t>For Multi Shade, 
the options are;
Standard
Over Roll
For Roman Shade, 
the options are;
Over Roll
For Triple Shade, 
the options are;
Standard</t>
        </r>
      </text>
    </comment>
    <comment ref="T37" authorId="0" shapeId="0" xr:uid="{00000000-0006-0000-0800-0000F0010000}">
      <text>
        <r>
          <rPr>
            <sz val="8"/>
            <color indexed="81"/>
            <rFont val="Tahoma"/>
            <family val="2"/>
          </rPr>
          <t>Please use this section 
to specify 
any Special Requirements
for the Line/Order.</t>
        </r>
      </text>
    </comment>
    <comment ref="D38" authorId="0" shapeId="0" xr:uid="{00000000-0006-0000-0800-0000F1010000}">
      <text>
        <r>
          <rPr>
            <sz val="8"/>
            <color indexed="81"/>
            <rFont val="Tahoma"/>
            <family val="2"/>
          </rPr>
          <t>The Products options are;
Multi Shade
Roman Shade
Triple Shade</t>
        </r>
      </text>
    </comment>
    <comment ref="E38" authorId="0" shapeId="0" xr:uid="{00000000-0006-0000-0800-0000F201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38" authorId="0" shapeId="0" xr:uid="{00000000-0006-0000-0800-0000F3010000}">
      <text>
        <r>
          <rPr>
            <sz val="8"/>
            <color indexed="81"/>
            <rFont val="Tahoma"/>
            <family val="2"/>
          </rPr>
          <t>The Colour can only be selected 
once the Product Type &amp; Finish has 
been entered.
Please refer to the Swatches.</t>
        </r>
      </text>
    </comment>
    <comment ref="G38" authorId="0" shapeId="0" xr:uid="{00000000-0006-0000-0800-0000F401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8" authorId="0" shapeId="0" xr:uid="{00000000-0006-0000-0800-0000F5010000}">
      <text>
        <r>
          <rPr>
            <sz val="8"/>
            <color indexed="81"/>
            <rFont val="Tahoma"/>
            <family val="2"/>
          </rPr>
          <t xml:space="preserve">The Minimum Height/Drop is 300mm.
For the Multi Shade, 
Roman Shade &amp; 
Triple Shade options 
the Maximum Drop is 3000mm. </t>
        </r>
      </text>
    </comment>
    <comment ref="I38" authorId="0" shapeId="0" xr:uid="{00000000-0006-0000-0800-0000F6010000}">
      <text>
        <r>
          <rPr>
            <sz val="8"/>
            <color indexed="81"/>
            <rFont val="Tahoma"/>
            <family val="2"/>
          </rPr>
          <t>The Window Type 
options are;
Standard
Side By Side</t>
        </r>
      </text>
    </comment>
    <comment ref="J38" authorId="0" shapeId="0" xr:uid="{00000000-0006-0000-0800-0000F7010000}">
      <text>
        <r>
          <rPr>
            <sz val="8"/>
            <color indexed="81"/>
            <rFont val="Tahoma"/>
            <family val="2"/>
          </rPr>
          <t>The Fitting options are;
Face Fit
Recess Fit</t>
        </r>
      </text>
    </comment>
    <comment ref="K38" authorId="0" shapeId="0" xr:uid="{00000000-0006-0000-0800-0000F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8" authorId="0" shapeId="0" xr:uid="{00000000-0006-0000-0800-0000F9010000}">
      <text>
        <r>
          <rPr>
            <sz val="8"/>
            <color indexed="81"/>
            <rFont val="Tahoma"/>
            <family val="2"/>
          </rPr>
          <t>The Head Box/Rail 
Colours are;
Default
Beige
Black
Dark Brown
Grey
Ivory
Light Brown
White</t>
        </r>
      </text>
    </comment>
    <comment ref="M38" authorId="0" shapeId="0" xr:uid="{00000000-0006-0000-0800-0000FA01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38" authorId="0" shapeId="0" xr:uid="{00000000-0006-0000-0800-0000FB010000}">
      <text>
        <r>
          <rPr>
            <sz val="8"/>
            <color indexed="81"/>
            <rFont val="Tahoma"/>
            <family val="2"/>
          </rPr>
          <t>The Control 
options are;
Left
Right</t>
        </r>
      </text>
    </comment>
    <comment ref="O38" authorId="0" shapeId="0" xr:uid="{00000000-0006-0000-0800-0000FC010000}">
      <text>
        <r>
          <rPr>
            <sz val="8"/>
            <color indexed="81"/>
            <rFont val="Tahoma"/>
            <family val="2"/>
          </rPr>
          <t>The Chain Length 
options are; 
Default
500mm
750mm
1000mm
1250mm
1500mm
2000mm</t>
        </r>
      </text>
    </comment>
    <comment ref="P38" authorId="0" shapeId="0" xr:uid="{00000000-0006-0000-0800-0000FD010000}">
      <text>
        <r>
          <rPr>
            <sz val="8"/>
            <color indexed="81"/>
            <rFont val="Tahoma"/>
            <family val="2"/>
          </rPr>
          <t>The Chain Colour 
options are;
Default
Stainless Steel
If Default is selected 
then the Chain Colour 
will be matched to the 
Head Box Colour.</t>
        </r>
      </text>
    </comment>
    <comment ref="Q38" authorId="0" shapeId="0" xr:uid="{00000000-0006-0000-0800-0000FE010000}">
      <text>
        <r>
          <rPr>
            <sz val="8"/>
            <color indexed="81"/>
            <rFont val="Tahoma"/>
            <family val="2"/>
          </rPr>
          <t>For Multi Shade, 
Roman Shade and
Triple Shade,  
the  Fabric Insert  
options are;
No
Yes</t>
        </r>
      </text>
    </comment>
    <comment ref="R38" authorId="0" shapeId="0" xr:uid="{00000000-0006-0000-0800-0000FF010000}">
      <text>
        <r>
          <rPr>
            <sz val="8"/>
            <color indexed="81"/>
            <rFont val="Tahoma"/>
            <family val="2"/>
          </rPr>
          <t>For Multi Shade, 
the options are;
Standard
Over Roll
For Roman Shade, 
the options are;
Over Roll
For Triple Shade, 
the options are;
Standard</t>
        </r>
      </text>
    </comment>
    <comment ref="T38" authorId="0" shapeId="0" xr:uid="{00000000-0006-0000-0800-000000020000}">
      <text>
        <r>
          <rPr>
            <sz val="8"/>
            <color indexed="81"/>
            <rFont val="Tahoma"/>
            <family val="2"/>
          </rPr>
          <t>Please use this section 
to specify 
any Special Requirements
for the Line/Order.</t>
        </r>
      </text>
    </comment>
    <comment ref="D39" authorId="0" shapeId="0" xr:uid="{00000000-0006-0000-0800-000001020000}">
      <text>
        <r>
          <rPr>
            <sz val="8"/>
            <color indexed="81"/>
            <rFont val="Tahoma"/>
            <family val="2"/>
          </rPr>
          <t>The Products options are;
Multi Shade
Roman Shade
Triple Shade</t>
        </r>
      </text>
    </comment>
    <comment ref="E39" authorId="0" shapeId="0" xr:uid="{00000000-0006-0000-0800-00000202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39" authorId="0" shapeId="0" xr:uid="{00000000-0006-0000-0800-000003020000}">
      <text>
        <r>
          <rPr>
            <sz val="8"/>
            <color indexed="81"/>
            <rFont val="Tahoma"/>
            <family val="2"/>
          </rPr>
          <t>The Colour can only be selected 
once the Product Type &amp; Finish has 
been entered.
Please refer to the Swatches.</t>
        </r>
      </text>
    </comment>
    <comment ref="G39" authorId="0" shapeId="0" xr:uid="{00000000-0006-0000-0800-00000402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9" authorId="0" shapeId="0" xr:uid="{00000000-0006-0000-0800-000005020000}">
      <text>
        <r>
          <rPr>
            <sz val="8"/>
            <color indexed="81"/>
            <rFont val="Tahoma"/>
            <family val="2"/>
          </rPr>
          <t xml:space="preserve">The Minimum Height/Drop is 300mm.
For the Multi Shade, 
Roman Shade &amp; 
Triple Shade options 
the Maximum Drop is 3000mm. </t>
        </r>
      </text>
    </comment>
    <comment ref="I39" authorId="0" shapeId="0" xr:uid="{00000000-0006-0000-0800-000006020000}">
      <text>
        <r>
          <rPr>
            <sz val="8"/>
            <color indexed="81"/>
            <rFont val="Tahoma"/>
            <family val="2"/>
          </rPr>
          <t>The Window Type 
options are;
Standard
Side By Side</t>
        </r>
      </text>
    </comment>
    <comment ref="J39" authorId="0" shapeId="0" xr:uid="{00000000-0006-0000-0800-000007020000}">
      <text>
        <r>
          <rPr>
            <sz val="8"/>
            <color indexed="81"/>
            <rFont val="Tahoma"/>
            <family val="2"/>
          </rPr>
          <t>The Fitting options are;
Face Fit
Recess Fit</t>
        </r>
      </text>
    </comment>
    <comment ref="K39" authorId="0" shapeId="0" xr:uid="{00000000-0006-0000-0800-00000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9" authorId="0" shapeId="0" xr:uid="{00000000-0006-0000-0800-000009020000}">
      <text>
        <r>
          <rPr>
            <sz val="8"/>
            <color indexed="81"/>
            <rFont val="Tahoma"/>
            <family val="2"/>
          </rPr>
          <t>The Head Box/Rail 
Colours are;
Default
Beige
Black
Dark Brown
Grey
Ivory
Light Brown
White</t>
        </r>
      </text>
    </comment>
    <comment ref="M39" authorId="0" shapeId="0" xr:uid="{00000000-0006-0000-0800-00000A02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39" authorId="0" shapeId="0" xr:uid="{00000000-0006-0000-0800-00000B020000}">
      <text>
        <r>
          <rPr>
            <sz val="8"/>
            <color indexed="81"/>
            <rFont val="Tahoma"/>
            <family val="2"/>
          </rPr>
          <t>The Control 
options are;
Left
Right</t>
        </r>
      </text>
    </comment>
    <comment ref="O39" authorId="0" shapeId="0" xr:uid="{00000000-0006-0000-0800-00000C020000}">
      <text>
        <r>
          <rPr>
            <sz val="8"/>
            <color indexed="81"/>
            <rFont val="Tahoma"/>
            <family val="2"/>
          </rPr>
          <t>The Chain Length 
options are; 
Default
500mm
750mm
1000mm
1250mm
1500mm
2000mm</t>
        </r>
      </text>
    </comment>
    <comment ref="P39" authorId="0" shapeId="0" xr:uid="{00000000-0006-0000-0800-00000D020000}">
      <text>
        <r>
          <rPr>
            <sz val="8"/>
            <color indexed="81"/>
            <rFont val="Tahoma"/>
            <family val="2"/>
          </rPr>
          <t>The Chain Colour 
options are;
Default
Stainless Steel
If Default is selected 
then the Chain Colour 
will be matched to the 
Head Box Colour.</t>
        </r>
      </text>
    </comment>
    <comment ref="Q39" authorId="0" shapeId="0" xr:uid="{00000000-0006-0000-0800-00000E020000}">
      <text>
        <r>
          <rPr>
            <sz val="8"/>
            <color indexed="81"/>
            <rFont val="Tahoma"/>
            <family val="2"/>
          </rPr>
          <t>For Multi Shade, 
Roman Shade and
Triple Shade,  
the  Fabric Insert  
options are;
No
Yes</t>
        </r>
      </text>
    </comment>
    <comment ref="R39" authorId="0" shapeId="0" xr:uid="{00000000-0006-0000-0800-00000F020000}">
      <text>
        <r>
          <rPr>
            <sz val="8"/>
            <color indexed="81"/>
            <rFont val="Tahoma"/>
            <family val="2"/>
          </rPr>
          <t>For Multi Shade, 
the options are;
Standard
Over Roll
For Roman Shade, 
the options are;
Over Roll
For Triple Shade, 
the options are;
Standard</t>
        </r>
      </text>
    </comment>
    <comment ref="T39" authorId="0" shapeId="0" xr:uid="{00000000-0006-0000-0800-000010020000}">
      <text>
        <r>
          <rPr>
            <sz val="8"/>
            <color indexed="81"/>
            <rFont val="Tahoma"/>
            <family val="2"/>
          </rPr>
          <t>Please use this section 
to specify 
any Special Requirements
for the Line/Order.</t>
        </r>
      </text>
    </comment>
    <comment ref="D40" authorId="0" shapeId="0" xr:uid="{00000000-0006-0000-0800-000011020000}">
      <text>
        <r>
          <rPr>
            <sz val="8"/>
            <color indexed="81"/>
            <rFont val="Tahoma"/>
            <family val="2"/>
          </rPr>
          <t>The Products options are;
Multi Shade
Roman Shade
Triple Shade</t>
        </r>
      </text>
    </comment>
    <comment ref="E40" authorId="0" shapeId="0" xr:uid="{00000000-0006-0000-0800-00001202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40" authorId="0" shapeId="0" xr:uid="{00000000-0006-0000-0800-000013020000}">
      <text>
        <r>
          <rPr>
            <sz val="8"/>
            <color indexed="81"/>
            <rFont val="Tahoma"/>
            <family val="2"/>
          </rPr>
          <t>The Colour can only be selected 
once the Product Type &amp; Finish has 
been entered.
Please refer to the Swatches.</t>
        </r>
      </text>
    </comment>
    <comment ref="G40" authorId="0" shapeId="0" xr:uid="{00000000-0006-0000-0800-00001402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0" authorId="0" shapeId="0" xr:uid="{00000000-0006-0000-0800-000015020000}">
      <text>
        <r>
          <rPr>
            <sz val="8"/>
            <color indexed="81"/>
            <rFont val="Tahoma"/>
            <family val="2"/>
          </rPr>
          <t xml:space="preserve">The Minimum Height/Drop is 300mm.
For the Multi Shade, 
Roman Shade &amp; 
Triple Shade options 
the Maximum Drop is 3000mm. </t>
        </r>
      </text>
    </comment>
    <comment ref="I40" authorId="0" shapeId="0" xr:uid="{00000000-0006-0000-0800-000016020000}">
      <text>
        <r>
          <rPr>
            <sz val="8"/>
            <color indexed="81"/>
            <rFont val="Tahoma"/>
            <family val="2"/>
          </rPr>
          <t>The Window Type 
options are;
Standard
Side By Side</t>
        </r>
      </text>
    </comment>
    <comment ref="J40" authorId="0" shapeId="0" xr:uid="{00000000-0006-0000-0800-000017020000}">
      <text>
        <r>
          <rPr>
            <sz val="8"/>
            <color indexed="81"/>
            <rFont val="Tahoma"/>
            <family val="2"/>
          </rPr>
          <t>The Fitting options are;
Face Fit
Recess Fit</t>
        </r>
      </text>
    </comment>
    <comment ref="K40" authorId="0" shapeId="0" xr:uid="{00000000-0006-0000-0800-00001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0" authorId="0" shapeId="0" xr:uid="{00000000-0006-0000-0800-000019020000}">
      <text>
        <r>
          <rPr>
            <sz val="8"/>
            <color indexed="81"/>
            <rFont val="Tahoma"/>
            <family val="2"/>
          </rPr>
          <t>The Head Box/Rail 
Colours are;
Default
Beige
Black
Dark Brown
Grey
Ivory
Light Brown
White</t>
        </r>
      </text>
    </comment>
    <comment ref="M40" authorId="0" shapeId="0" xr:uid="{00000000-0006-0000-0800-00001A02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40" authorId="0" shapeId="0" xr:uid="{00000000-0006-0000-0800-00001B020000}">
      <text>
        <r>
          <rPr>
            <sz val="8"/>
            <color indexed="81"/>
            <rFont val="Tahoma"/>
            <family val="2"/>
          </rPr>
          <t>The Control 
options are;
Left
Right</t>
        </r>
      </text>
    </comment>
    <comment ref="O40" authorId="0" shapeId="0" xr:uid="{00000000-0006-0000-0800-00001C020000}">
      <text>
        <r>
          <rPr>
            <sz val="8"/>
            <color indexed="81"/>
            <rFont val="Tahoma"/>
            <family val="2"/>
          </rPr>
          <t>The Chain Length 
options are; 
Default
500mm
750mm
1000mm
1250mm
1500mm
2000mm</t>
        </r>
      </text>
    </comment>
    <comment ref="P40" authorId="0" shapeId="0" xr:uid="{00000000-0006-0000-0800-00001D020000}">
      <text>
        <r>
          <rPr>
            <sz val="8"/>
            <color indexed="81"/>
            <rFont val="Tahoma"/>
            <family val="2"/>
          </rPr>
          <t>The Chain Colour 
options are;
Default
Stainless Steel
If Default is selected 
then the Chain Colour 
will be matched to the 
Head Box Colour.</t>
        </r>
      </text>
    </comment>
    <comment ref="Q40" authorId="0" shapeId="0" xr:uid="{00000000-0006-0000-0800-00001E020000}">
      <text>
        <r>
          <rPr>
            <sz val="8"/>
            <color indexed="81"/>
            <rFont val="Tahoma"/>
            <family val="2"/>
          </rPr>
          <t>For Multi Shade, 
Roman Shade and
Triple Shade,  
the  Fabric Insert  
options are;
No
Yes</t>
        </r>
      </text>
    </comment>
    <comment ref="R40" authorId="0" shapeId="0" xr:uid="{00000000-0006-0000-0800-00001F020000}">
      <text>
        <r>
          <rPr>
            <sz val="8"/>
            <color indexed="81"/>
            <rFont val="Tahoma"/>
            <family val="2"/>
          </rPr>
          <t>For Multi Shade, 
the options are;
Standard
Over Roll
For Roman Shade, 
the options are;
Over Roll
For Triple Shade, 
the options are;
Standard</t>
        </r>
      </text>
    </comment>
    <comment ref="T40" authorId="0" shapeId="0" xr:uid="{00000000-0006-0000-0800-000020020000}">
      <text>
        <r>
          <rPr>
            <sz val="8"/>
            <color indexed="81"/>
            <rFont val="Tahoma"/>
            <family val="2"/>
          </rPr>
          <t>Please use this section 
to specify 
any Special Requirements
for the Line/Order.</t>
        </r>
      </text>
    </comment>
    <comment ref="D41" authorId="0" shapeId="0" xr:uid="{00000000-0006-0000-0800-000021020000}">
      <text>
        <r>
          <rPr>
            <sz val="8"/>
            <color indexed="81"/>
            <rFont val="Tahoma"/>
            <family val="2"/>
          </rPr>
          <t>The Products options are;
Multi Shade
Roman Shade
Triple Shade</t>
        </r>
      </text>
    </comment>
    <comment ref="E41" authorId="0" shapeId="0" xr:uid="{00000000-0006-0000-0800-00002202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41" authorId="0" shapeId="0" xr:uid="{00000000-0006-0000-0800-000023020000}">
      <text>
        <r>
          <rPr>
            <sz val="8"/>
            <color indexed="81"/>
            <rFont val="Tahoma"/>
            <family val="2"/>
          </rPr>
          <t>The Colour can only be selected 
once the Product Type &amp; Finish has 
been entered.
Please refer to the Swatches.</t>
        </r>
      </text>
    </comment>
    <comment ref="G41" authorId="0" shapeId="0" xr:uid="{00000000-0006-0000-0800-00002402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1" authorId="0" shapeId="0" xr:uid="{00000000-0006-0000-0800-000025020000}">
      <text>
        <r>
          <rPr>
            <sz val="8"/>
            <color indexed="81"/>
            <rFont val="Tahoma"/>
            <family val="2"/>
          </rPr>
          <t xml:space="preserve">The Minimum Height/Drop is 300mm.
For the Multi Shade, 
Roman Shade &amp; 
Triple Shade options 
the Maximum Drop is 3000mm. </t>
        </r>
      </text>
    </comment>
    <comment ref="I41" authorId="0" shapeId="0" xr:uid="{00000000-0006-0000-0800-000026020000}">
      <text>
        <r>
          <rPr>
            <sz val="8"/>
            <color indexed="81"/>
            <rFont val="Tahoma"/>
            <family val="2"/>
          </rPr>
          <t>The Window Type 
options are;
Standard
Side By Side</t>
        </r>
      </text>
    </comment>
    <comment ref="J41" authorId="0" shapeId="0" xr:uid="{00000000-0006-0000-0800-000027020000}">
      <text>
        <r>
          <rPr>
            <sz val="8"/>
            <color indexed="81"/>
            <rFont val="Tahoma"/>
            <family val="2"/>
          </rPr>
          <t>The Fitting options are;
Face Fit
Recess Fit</t>
        </r>
      </text>
    </comment>
    <comment ref="K41" authorId="0" shapeId="0" xr:uid="{00000000-0006-0000-0800-00002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1" authorId="0" shapeId="0" xr:uid="{00000000-0006-0000-0800-000029020000}">
      <text>
        <r>
          <rPr>
            <sz val="8"/>
            <color indexed="81"/>
            <rFont val="Tahoma"/>
            <family val="2"/>
          </rPr>
          <t>The Head Box/Rail 
Colours are;
Default
Beige
Black
Dark Brown
Grey
Ivory
Light Brown
White</t>
        </r>
      </text>
    </comment>
    <comment ref="M41" authorId="0" shapeId="0" xr:uid="{00000000-0006-0000-0800-00002A02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41" authorId="0" shapeId="0" xr:uid="{00000000-0006-0000-0800-00002B020000}">
      <text>
        <r>
          <rPr>
            <sz val="8"/>
            <color indexed="81"/>
            <rFont val="Tahoma"/>
            <family val="2"/>
          </rPr>
          <t>The Control 
options are;
Left
Right</t>
        </r>
      </text>
    </comment>
    <comment ref="O41" authorId="0" shapeId="0" xr:uid="{00000000-0006-0000-0800-00002C020000}">
      <text>
        <r>
          <rPr>
            <sz val="8"/>
            <color indexed="81"/>
            <rFont val="Tahoma"/>
            <family val="2"/>
          </rPr>
          <t>The Chain Length 
options are; 
Default
500mm
750mm
1000mm
1250mm
1500mm
2000mm</t>
        </r>
      </text>
    </comment>
    <comment ref="P41" authorId="0" shapeId="0" xr:uid="{00000000-0006-0000-0800-00002D020000}">
      <text>
        <r>
          <rPr>
            <sz val="8"/>
            <color indexed="81"/>
            <rFont val="Tahoma"/>
            <family val="2"/>
          </rPr>
          <t>The Chain Colour 
options are;
Default
Stainless Steel
If Default is selected 
then the Chain Colour 
will be matched to the 
Head Box Colour.</t>
        </r>
      </text>
    </comment>
    <comment ref="Q41" authorId="0" shapeId="0" xr:uid="{00000000-0006-0000-0800-00002E020000}">
      <text>
        <r>
          <rPr>
            <sz val="8"/>
            <color indexed="81"/>
            <rFont val="Tahoma"/>
            <family val="2"/>
          </rPr>
          <t>For Multi Shade, 
Roman Shade and
Triple Shade,  
the  Fabric Insert  
options are;
No
Yes</t>
        </r>
      </text>
    </comment>
    <comment ref="R41" authorId="0" shapeId="0" xr:uid="{00000000-0006-0000-0800-00002F020000}">
      <text>
        <r>
          <rPr>
            <sz val="8"/>
            <color indexed="81"/>
            <rFont val="Tahoma"/>
            <family val="2"/>
          </rPr>
          <t>For Multi Shade, 
the options are;
Standard
Over Roll
For Roman Shade, 
the options are;
Over Roll
For Triple Shade, 
the options are;
Standard</t>
        </r>
      </text>
    </comment>
    <comment ref="T41" authorId="0" shapeId="0" xr:uid="{00000000-0006-0000-0800-000030020000}">
      <text>
        <r>
          <rPr>
            <sz val="8"/>
            <color indexed="81"/>
            <rFont val="Tahoma"/>
            <family val="2"/>
          </rPr>
          <t>Please use this section 
to specify 
any Special Requirements
for the Line/Order.</t>
        </r>
      </text>
    </comment>
    <comment ref="D42" authorId="0" shapeId="0" xr:uid="{00000000-0006-0000-0800-000031020000}">
      <text>
        <r>
          <rPr>
            <sz val="8"/>
            <color indexed="81"/>
            <rFont val="Tahoma"/>
            <family val="2"/>
          </rPr>
          <t>The Products options are;
Multi Shade
Roman Shade
Triple Shade</t>
        </r>
      </text>
    </comment>
    <comment ref="E42" authorId="0" shapeId="0" xr:uid="{00000000-0006-0000-0800-00003202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42" authorId="0" shapeId="0" xr:uid="{00000000-0006-0000-0800-000033020000}">
      <text>
        <r>
          <rPr>
            <sz val="8"/>
            <color indexed="81"/>
            <rFont val="Tahoma"/>
            <family val="2"/>
          </rPr>
          <t>The Colour can only be selected 
once the Product Type &amp; Finish has 
been entered.
Please refer to the Swatches.</t>
        </r>
      </text>
    </comment>
    <comment ref="G42" authorId="0" shapeId="0" xr:uid="{00000000-0006-0000-0800-00003402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2" authorId="0" shapeId="0" xr:uid="{00000000-0006-0000-0800-000035020000}">
      <text>
        <r>
          <rPr>
            <sz val="8"/>
            <color indexed="81"/>
            <rFont val="Tahoma"/>
            <family val="2"/>
          </rPr>
          <t xml:space="preserve">The Minimum Height/Drop is 300mm.
For the Multi Shade, 
Roman Shade &amp; 
Triple Shade options 
the Maximum Drop is 3000mm. </t>
        </r>
      </text>
    </comment>
    <comment ref="I42" authorId="0" shapeId="0" xr:uid="{00000000-0006-0000-0800-000036020000}">
      <text>
        <r>
          <rPr>
            <sz val="8"/>
            <color indexed="81"/>
            <rFont val="Tahoma"/>
            <family val="2"/>
          </rPr>
          <t>The Window Type 
options are;
Standard
Side By Side</t>
        </r>
      </text>
    </comment>
    <comment ref="J42" authorId="0" shapeId="0" xr:uid="{00000000-0006-0000-0800-000037020000}">
      <text>
        <r>
          <rPr>
            <sz val="8"/>
            <color indexed="81"/>
            <rFont val="Tahoma"/>
            <family val="2"/>
          </rPr>
          <t>The Fitting options are;
Face Fit
Recess Fit</t>
        </r>
      </text>
    </comment>
    <comment ref="K42" authorId="0" shapeId="0" xr:uid="{00000000-0006-0000-0800-00003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2" authorId="0" shapeId="0" xr:uid="{00000000-0006-0000-0800-000039020000}">
      <text>
        <r>
          <rPr>
            <sz val="8"/>
            <color indexed="81"/>
            <rFont val="Tahoma"/>
            <family val="2"/>
          </rPr>
          <t>The Head Box/Rail 
Colours are;
Default
Beige
Black
Dark Brown
Grey
Ivory
Light Brown
White</t>
        </r>
      </text>
    </comment>
    <comment ref="M42" authorId="0" shapeId="0" xr:uid="{00000000-0006-0000-0800-00003A02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42" authorId="0" shapeId="0" xr:uid="{00000000-0006-0000-0800-00003B020000}">
      <text>
        <r>
          <rPr>
            <sz val="8"/>
            <color indexed="81"/>
            <rFont val="Tahoma"/>
            <family val="2"/>
          </rPr>
          <t>The Control 
options are;
Left
Right</t>
        </r>
      </text>
    </comment>
    <comment ref="O42" authorId="0" shapeId="0" xr:uid="{00000000-0006-0000-0800-00003C020000}">
      <text>
        <r>
          <rPr>
            <sz val="8"/>
            <color indexed="81"/>
            <rFont val="Tahoma"/>
            <family val="2"/>
          </rPr>
          <t>The Chain Length 
options are; 
Default
500mm
750mm
1000mm
1250mm
1500mm
2000mm</t>
        </r>
      </text>
    </comment>
    <comment ref="P42" authorId="0" shapeId="0" xr:uid="{00000000-0006-0000-0800-00003D020000}">
      <text>
        <r>
          <rPr>
            <sz val="8"/>
            <color indexed="81"/>
            <rFont val="Tahoma"/>
            <family val="2"/>
          </rPr>
          <t>The Chain Colour 
options are;
Default
Stainless Steel
If Default is selected 
then the Chain Colour 
will be matched to the 
Head Box Colour.</t>
        </r>
      </text>
    </comment>
    <comment ref="Q42" authorId="0" shapeId="0" xr:uid="{00000000-0006-0000-0800-00003E020000}">
      <text>
        <r>
          <rPr>
            <sz val="8"/>
            <color indexed="81"/>
            <rFont val="Tahoma"/>
            <family val="2"/>
          </rPr>
          <t>For Multi Shade, 
Roman Shade and
Triple Shade,  
the  Fabric Insert  
options are;
No
Yes</t>
        </r>
      </text>
    </comment>
    <comment ref="R42" authorId="0" shapeId="0" xr:uid="{00000000-0006-0000-0800-00003F020000}">
      <text>
        <r>
          <rPr>
            <sz val="8"/>
            <color indexed="81"/>
            <rFont val="Tahoma"/>
            <family val="2"/>
          </rPr>
          <t>For Multi Shade, 
the options are;
Standard
Over Roll
For Roman Shade, 
the options are;
Over Roll
For Triple Shade, 
the options are;
Standard</t>
        </r>
      </text>
    </comment>
    <comment ref="T42" authorId="0" shapeId="0" xr:uid="{00000000-0006-0000-0800-000040020000}">
      <text>
        <r>
          <rPr>
            <sz val="8"/>
            <color indexed="81"/>
            <rFont val="Tahoma"/>
            <family val="2"/>
          </rPr>
          <t>Please use this section 
to specify 
any Special Requirements
for the Line/Order.</t>
        </r>
      </text>
    </comment>
    <comment ref="D43" authorId="0" shapeId="0" xr:uid="{00000000-0006-0000-0800-000041020000}">
      <text>
        <r>
          <rPr>
            <sz val="8"/>
            <color indexed="81"/>
            <rFont val="Tahoma"/>
            <family val="2"/>
          </rPr>
          <t>The Products options are;
Multi Shade
Roman Shade
Triple Shade</t>
        </r>
      </text>
    </comment>
    <comment ref="E43" authorId="0" shapeId="0" xr:uid="{00000000-0006-0000-0800-00004202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43" authorId="0" shapeId="0" xr:uid="{00000000-0006-0000-0800-000043020000}">
      <text>
        <r>
          <rPr>
            <sz val="8"/>
            <color indexed="81"/>
            <rFont val="Tahoma"/>
            <family val="2"/>
          </rPr>
          <t>The Colour can only be selected 
once the Product Type &amp; Finish has 
been entered.
Please refer to the Swatches.</t>
        </r>
      </text>
    </comment>
    <comment ref="G43" authorId="0" shapeId="0" xr:uid="{00000000-0006-0000-0800-00004402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3" authorId="0" shapeId="0" xr:uid="{00000000-0006-0000-0800-000045020000}">
      <text>
        <r>
          <rPr>
            <sz val="8"/>
            <color indexed="81"/>
            <rFont val="Tahoma"/>
            <family val="2"/>
          </rPr>
          <t xml:space="preserve">The Minimum Height/Drop is 300mm.
For the Multi Shade, 
Roman Shade &amp; 
Triple Shade options 
the Maximum Drop is 3000mm. </t>
        </r>
      </text>
    </comment>
    <comment ref="I43" authorId="0" shapeId="0" xr:uid="{00000000-0006-0000-0800-000046020000}">
      <text>
        <r>
          <rPr>
            <sz val="8"/>
            <color indexed="81"/>
            <rFont val="Tahoma"/>
            <family val="2"/>
          </rPr>
          <t>The Window Type 
options are;
Standard
Side By Side</t>
        </r>
      </text>
    </comment>
    <comment ref="J43" authorId="0" shapeId="0" xr:uid="{00000000-0006-0000-0800-000047020000}">
      <text>
        <r>
          <rPr>
            <sz val="8"/>
            <color indexed="81"/>
            <rFont val="Tahoma"/>
            <family val="2"/>
          </rPr>
          <t>The Fitting options are;
Face Fit
Recess Fit</t>
        </r>
      </text>
    </comment>
    <comment ref="K43" authorId="0" shapeId="0" xr:uid="{00000000-0006-0000-0800-00004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3" authorId="0" shapeId="0" xr:uid="{00000000-0006-0000-0800-000049020000}">
      <text>
        <r>
          <rPr>
            <sz val="8"/>
            <color indexed="81"/>
            <rFont val="Tahoma"/>
            <family val="2"/>
          </rPr>
          <t>The Head Box/Rail 
Colours are;
Default
Beige
Black
Dark Brown
Grey
Ivory
Light Brown
White</t>
        </r>
      </text>
    </comment>
    <comment ref="M43" authorId="0" shapeId="0" xr:uid="{00000000-0006-0000-0800-00004A02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43" authorId="0" shapeId="0" xr:uid="{00000000-0006-0000-0800-00004B020000}">
      <text>
        <r>
          <rPr>
            <sz val="8"/>
            <color indexed="81"/>
            <rFont val="Tahoma"/>
            <family val="2"/>
          </rPr>
          <t>The Control 
options are;
Left
Right</t>
        </r>
      </text>
    </comment>
    <comment ref="O43" authorId="0" shapeId="0" xr:uid="{00000000-0006-0000-0800-00004C020000}">
      <text>
        <r>
          <rPr>
            <sz val="8"/>
            <color indexed="81"/>
            <rFont val="Tahoma"/>
            <family val="2"/>
          </rPr>
          <t>The Chain Length 
options are; 
Default
500mm
750mm
1000mm
1250mm
1500mm
2000mm</t>
        </r>
      </text>
    </comment>
    <comment ref="P43" authorId="0" shapeId="0" xr:uid="{00000000-0006-0000-0800-00004D020000}">
      <text>
        <r>
          <rPr>
            <sz val="8"/>
            <color indexed="81"/>
            <rFont val="Tahoma"/>
            <family val="2"/>
          </rPr>
          <t>The Chain Colour 
options are;
Default
Stainless Steel
If Default is selected 
then the Chain Colour 
will be matched to the 
Head Box Colour.</t>
        </r>
      </text>
    </comment>
    <comment ref="Q43" authorId="0" shapeId="0" xr:uid="{00000000-0006-0000-0800-00004E020000}">
      <text>
        <r>
          <rPr>
            <sz val="8"/>
            <color indexed="81"/>
            <rFont val="Tahoma"/>
            <family val="2"/>
          </rPr>
          <t>For Multi Shade, 
Roman Shade and
Triple Shade,  
the  Fabric Insert  
options are;
No
Yes</t>
        </r>
      </text>
    </comment>
    <comment ref="R43" authorId="0" shapeId="0" xr:uid="{00000000-0006-0000-0800-00004F020000}">
      <text>
        <r>
          <rPr>
            <sz val="8"/>
            <color indexed="81"/>
            <rFont val="Tahoma"/>
            <family val="2"/>
          </rPr>
          <t>For Multi Shade, 
the options are;
Standard
Over Roll
For Roman Shade, 
the options are;
Over Roll
For Triple Shade, 
the options are;
Standard</t>
        </r>
      </text>
    </comment>
    <comment ref="T43" authorId="0" shapeId="0" xr:uid="{00000000-0006-0000-0800-000050020000}">
      <text>
        <r>
          <rPr>
            <sz val="8"/>
            <color indexed="81"/>
            <rFont val="Tahoma"/>
            <family val="2"/>
          </rPr>
          <t>Please use this section 
to specify 
any Special Requirements
for the Line/Order.</t>
        </r>
      </text>
    </comment>
    <comment ref="D44" authorId="0" shapeId="0" xr:uid="{00000000-0006-0000-0800-000051020000}">
      <text>
        <r>
          <rPr>
            <sz val="8"/>
            <color indexed="81"/>
            <rFont val="Tahoma"/>
            <family val="2"/>
          </rPr>
          <t>The Products options are;
Multi Shade
Roman Shade
Triple Shade</t>
        </r>
      </text>
    </comment>
    <comment ref="E44" authorId="0" shapeId="0" xr:uid="{00000000-0006-0000-0800-00005202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44" authorId="0" shapeId="0" xr:uid="{00000000-0006-0000-0800-000053020000}">
      <text>
        <r>
          <rPr>
            <sz val="8"/>
            <color indexed="81"/>
            <rFont val="Tahoma"/>
            <family val="2"/>
          </rPr>
          <t>The Colour can only be selected 
once the Product Type &amp; Finish has 
been entered.
Please refer to the Swatches.</t>
        </r>
      </text>
    </comment>
    <comment ref="G44" authorId="0" shapeId="0" xr:uid="{00000000-0006-0000-0800-00005402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4" authorId="0" shapeId="0" xr:uid="{00000000-0006-0000-0800-000055020000}">
      <text>
        <r>
          <rPr>
            <sz val="8"/>
            <color indexed="81"/>
            <rFont val="Tahoma"/>
            <family val="2"/>
          </rPr>
          <t xml:space="preserve">The Minimum Height/Drop is 300mm.
For the Multi Shade, 
Roman Shade &amp; 
Triple Shade options 
the Maximum Drop is 3000mm. </t>
        </r>
      </text>
    </comment>
    <comment ref="I44" authorId="0" shapeId="0" xr:uid="{00000000-0006-0000-0800-000056020000}">
      <text>
        <r>
          <rPr>
            <sz val="8"/>
            <color indexed="81"/>
            <rFont val="Tahoma"/>
            <family val="2"/>
          </rPr>
          <t>The Window Type 
options are;
Standard
Side By Side</t>
        </r>
      </text>
    </comment>
    <comment ref="J44" authorId="0" shapeId="0" xr:uid="{00000000-0006-0000-0800-000057020000}">
      <text>
        <r>
          <rPr>
            <sz val="8"/>
            <color indexed="81"/>
            <rFont val="Tahoma"/>
            <family val="2"/>
          </rPr>
          <t>The Fitting options are;
Face Fit
Recess Fit</t>
        </r>
      </text>
    </comment>
    <comment ref="K44" authorId="0" shapeId="0" xr:uid="{00000000-0006-0000-0800-00005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4" authorId="0" shapeId="0" xr:uid="{00000000-0006-0000-0800-000059020000}">
      <text>
        <r>
          <rPr>
            <sz val="8"/>
            <color indexed="81"/>
            <rFont val="Tahoma"/>
            <family val="2"/>
          </rPr>
          <t>The Head Box/Rail 
Colours are;
Default
Beige
Black
Dark Brown
Grey
Ivory
Light Brown
White</t>
        </r>
      </text>
    </comment>
    <comment ref="M44" authorId="0" shapeId="0" xr:uid="{00000000-0006-0000-0800-00005A02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44" authorId="0" shapeId="0" xr:uid="{00000000-0006-0000-0800-00005B020000}">
      <text>
        <r>
          <rPr>
            <sz val="8"/>
            <color indexed="81"/>
            <rFont val="Tahoma"/>
            <family val="2"/>
          </rPr>
          <t>The Control 
options are;
Left
Right</t>
        </r>
      </text>
    </comment>
    <comment ref="O44" authorId="0" shapeId="0" xr:uid="{00000000-0006-0000-0800-00005C020000}">
      <text>
        <r>
          <rPr>
            <sz val="8"/>
            <color indexed="81"/>
            <rFont val="Tahoma"/>
            <family val="2"/>
          </rPr>
          <t>The Chain Length 
options are; 
Default
500mm
750mm
1000mm
1250mm
1500mm
2000mm</t>
        </r>
      </text>
    </comment>
    <comment ref="P44" authorId="0" shapeId="0" xr:uid="{00000000-0006-0000-0800-00005D020000}">
      <text>
        <r>
          <rPr>
            <sz val="8"/>
            <color indexed="81"/>
            <rFont val="Tahoma"/>
            <family val="2"/>
          </rPr>
          <t>The Chain Colour 
options are;
Default
Stainless Steel
If Default is selected 
then the Chain Colour 
will be matched to the 
Head Box Colour.</t>
        </r>
      </text>
    </comment>
    <comment ref="Q44" authorId="0" shapeId="0" xr:uid="{00000000-0006-0000-0800-00005E020000}">
      <text>
        <r>
          <rPr>
            <sz val="8"/>
            <color indexed="81"/>
            <rFont val="Tahoma"/>
            <family val="2"/>
          </rPr>
          <t>For Multi Shade, 
Roman Shade and
Triple Shade,  
the  Fabric Insert  
options are;
No
Yes</t>
        </r>
      </text>
    </comment>
    <comment ref="R44" authorId="0" shapeId="0" xr:uid="{00000000-0006-0000-0800-00005F020000}">
      <text>
        <r>
          <rPr>
            <sz val="8"/>
            <color indexed="81"/>
            <rFont val="Tahoma"/>
            <family val="2"/>
          </rPr>
          <t>For Multi Shade, 
the options are;
Standard
Over Roll
For Roman Shade, 
the options are;
Over Roll
For Triple Shade, 
the options are;
Standard</t>
        </r>
      </text>
    </comment>
    <comment ref="T44" authorId="0" shapeId="0" xr:uid="{00000000-0006-0000-0800-000060020000}">
      <text>
        <r>
          <rPr>
            <sz val="8"/>
            <color indexed="81"/>
            <rFont val="Tahoma"/>
            <family val="2"/>
          </rPr>
          <t>Please use this section 
to specify 
any Special Requirements
for the Line/Order.</t>
        </r>
      </text>
    </comment>
    <comment ref="D45" authorId="0" shapeId="0" xr:uid="{00000000-0006-0000-0800-000061020000}">
      <text>
        <r>
          <rPr>
            <sz val="8"/>
            <color indexed="81"/>
            <rFont val="Tahoma"/>
            <family val="2"/>
          </rPr>
          <t>The Products options are;
Multi Shade
Roman Shade
Triple Shade</t>
        </r>
      </text>
    </comment>
    <comment ref="E45" authorId="0" shapeId="0" xr:uid="{00000000-0006-0000-0800-00006202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45" authorId="0" shapeId="0" xr:uid="{00000000-0006-0000-0800-000063020000}">
      <text>
        <r>
          <rPr>
            <sz val="8"/>
            <color indexed="81"/>
            <rFont val="Tahoma"/>
            <family val="2"/>
          </rPr>
          <t>The Colour can only be selected 
once the Product Type &amp; Finish has 
been entered.
Please refer to the Swatches.</t>
        </r>
      </text>
    </comment>
    <comment ref="G45" authorId="0" shapeId="0" xr:uid="{00000000-0006-0000-0800-00006402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5" authorId="0" shapeId="0" xr:uid="{00000000-0006-0000-0800-000065020000}">
      <text>
        <r>
          <rPr>
            <sz val="8"/>
            <color indexed="81"/>
            <rFont val="Tahoma"/>
            <family val="2"/>
          </rPr>
          <t xml:space="preserve">The Minimum Height/Drop is 300mm.
For the Multi Shade, 
Roman Shade &amp; 
Triple Shade options 
the Maximum Drop is 3000mm. </t>
        </r>
      </text>
    </comment>
    <comment ref="I45" authorId="0" shapeId="0" xr:uid="{00000000-0006-0000-0800-000066020000}">
      <text>
        <r>
          <rPr>
            <sz val="8"/>
            <color indexed="81"/>
            <rFont val="Tahoma"/>
            <family val="2"/>
          </rPr>
          <t>The Window Type 
options are;
Standard
Side By Side</t>
        </r>
      </text>
    </comment>
    <comment ref="J45" authorId="0" shapeId="0" xr:uid="{00000000-0006-0000-0800-000067020000}">
      <text>
        <r>
          <rPr>
            <sz val="8"/>
            <color indexed="81"/>
            <rFont val="Tahoma"/>
            <family val="2"/>
          </rPr>
          <t>The Fitting options are;
Face Fit
Recess Fit</t>
        </r>
      </text>
    </comment>
    <comment ref="K45" authorId="0" shapeId="0" xr:uid="{00000000-0006-0000-0800-00006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5" authorId="0" shapeId="0" xr:uid="{00000000-0006-0000-0800-000069020000}">
      <text>
        <r>
          <rPr>
            <sz val="8"/>
            <color indexed="81"/>
            <rFont val="Tahoma"/>
            <family val="2"/>
          </rPr>
          <t>The Head Box/Rail 
Colours are;
Default
Beige
Black
Dark Brown
Grey
Ivory
Light Brown
White</t>
        </r>
      </text>
    </comment>
    <comment ref="M45" authorId="0" shapeId="0" xr:uid="{00000000-0006-0000-0800-00006A02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45" authorId="0" shapeId="0" xr:uid="{00000000-0006-0000-0800-00006B020000}">
      <text>
        <r>
          <rPr>
            <sz val="8"/>
            <color indexed="81"/>
            <rFont val="Tahoma"/>
            <family val="2"/>
          </rPr>
          <t>The Control 
options are;
Left
Right</t>
        </r>
      </text>
    </comment>
    <comment ref="O45" authorId="0" shapeId="0" xr:uid="{00000000-0006-0000-0800-00006C020000}">
      <text>
        <r>
          <rPr>
            <sz val="8"/>
            <color indexed="81"/>
            <rFont val="Tahoma"/>
            <family val="2"/>
          </rPr>
          <t>The Chain Length 
options are; 
Default
500mm
750mm
1000mm
1250mm
1500mm
2000mm</t>
        </r>
      </text>
    </comment>
    <comment ref="P45" authorId="0" shapeId="0" xr:uid="{00000000-0006-0000-0800-00006D020000}">
      <text>
        <r>
          <rPr>
            <sz val="8"/>
            <color indexed="81"/>
            <rFont val="Tahoma"/>
            <family val="2"/>
          </rPr>
          <t>The Chain Colour 
options are;
Default
Stainless Steel
If Default is selected 
then the Chain Colour 
will be matched to the 
Head Box Colour.</t>
        </r>
      </text>
    </comment>
    <comment ref="Q45" authorId="0" shapeId="0" xr:uid="{00000000-0006-0000-0800-00006E020000}">
      <text>
        <r>
          <rPr>
            <sz val="8"/>
            <color indexed="81"/>
            <rFont val="Tahoma"/>
            <family val="2"/>
          </rPr>
          <t>For Multi Shade, 
Roman Shade and
Triple Shade,  
the  Fabric Insert  
options are;
No
Yes</t>
        </r>
      </text>
    </comment>
    <comment ref="R45" authorId="0" shapeId="0" xr:uid="{00000000-0006-0000-0800-00006F020000}">
      <text>
        <r>
          <rPr>
            <sz val="8"/>
            <color indexed="81"/>
            <rFont val="Tahoma"/>
            <family val="2"/>
          </rPr>
          <t>For Multi Shade, 
the options are;
Standard
Over Roll
For Roman Shade, 
the options are;
Over Roll
For Triple Shade, 
the options are;
Standard</t>
        </r>
      </text>
    </comment>
    <comment ref="T45" authorId="0" shapeId="0" xr:uid="{00000000-0006-0000-0800-000070020000}">
      <text>
        <r>
          <rPr>
            <sz val="8"/>
            <color indexed="81"/>
            <rFont val="Tahoma"/>
            <family val="2"/>
          </rPr>
          <t>Please use this section 
to specify 
any Special Requirements
for the Line/Order.</t>
        </r>
      </text>
    </comment>
    <comment ref="D46" authorId="0" shapeId="0" xr:uid="{00000000-0006-0000-0800-000071020000}">
      <text>
        <r>
          <rPr>
            <sz val="8"/>
            <color indexed="81"/>
            <rFont val="Tahoma"/>
            <family val="2"/>
          </rPr>
          <t>The Products options are;
Multi Shade
Roman Shade
Triple Shade</t>
        </r>
      </text>
    </comment>
    <comment ref="E46" authorId="0" shapeId="0" xr:uid="{00000000-0006-0000-0800-00007202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46" authorId="0" shapeId="0" xr:uid="{00000000-0006-0000-0800-000073020000}">
      <text>
        <r>
          <rPr>
            <sz val="8"/>
            <color indexed="81"/>
            <rFont val="Tahoma"/>
            <family val="2"/>
          </rPr>
          <t>The Colour can only be selected 
once the Product Type &amp; Finish has 
been entered.
Please refer to the Swatches.</t>
        </r>
      </text>
    </comment>
    <comment ref="G46" authorId="0" shapeId="0" xr:uid="{00000000-0006-0000-0800-00007402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6" authorId="0" shapeId="0" xr:uid="{00000000-0006-0000-0800-000075020000}">
      <text>
        <r>
          <rPr>
            <sz val="8"/>
            <color indexed="81"/>
            <rFont val="Tahoma"/>
            <family val="2"/>
          </rPr>
          <t xml:space="preserve">The Minimum Height/Drop is 300mm.
For the Multi Shade, 
Roman Shade &amp; 
Triple Shade options 
the Maximum Drop is 3000mm. </t>
        </r>
      </text>
    </comment>
    <comment ref="I46" authorId="0" shapeId="0" xr:uid="{00000000-0006-0000-0800-000076020000}">
      <text>
        <r>
          <rPr>
            <sz val="8"/>
            <color indexed="81"/>
            <rFont val="Tahoma"/>
            <family val="2"/>
          </rPr>
          <t>The Window Type 
options are;
Standard
Side By Side</t>
        </r>
      </text>
    </comment>
    <comment ref="J46" authorId="0" shapeId="0" xr:uid="{00000000-0006-0000-0800-000077020000}">
      <text>
        <r>
          <rPr>
            <sz val="8"/>
            <color indexed="81"/>
            <rFont val="Tahoma"/>
            <family val="2"/>
          </rPr>
          <t>The Fitting options are;
Face Fit
Recess Fit</t>
        </r>
      </text>
    </comment>
    <comment ref="K46" authorId="0" shapeId="0" xr:uid="{00000000-0006-0000-0800-00007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6" authorId="0" shapeId="0" xr:uid="{00000000-0006-0000-0800-000079020000}">
      <text>
        <r>
          <rPr>
            <sz val="8"/>
            <color indexed="81"/>
            <rFont val="Tahoma"/>
            <family val="2"/>
          </rPr>
          <t>The Head Box/Rail 
Colours are;
Default
Beige
Black
Dark Brown
Grey
Ivory
Light Brown
White</t>
        </r>
      </text>
    </comment>
    <comment ref="M46" authorId="0" shapeId="0" xr:uid="{00000000-0006-0000-0800-00007A02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46" authorId="0" shapeId="0" xr:uid="{00000000-0006-0000-0800-00007B020000}">
      <text>
        <r>
          <rPr>
            <sz val="8"/>
            <color indexed="81"/>
            <rFont val="Tahoma"/>
            <family val="2"/>
          </rPr>
          <t>The Control 
options are;
Left
Right</t>
        </r>
      </text>
    </comment>
    <comment ref="O46" authorId="0" shapeId="0" xr:uid="{00000000-0006-0000-0800-00007C020000}">
      <text>
        <r>
          <rPr>
            <sz val="8"/>
            <color indexed="81"/>
            <rFont val="Tahoma"/>
            <family val="2"/>
          </rPr>
          <t>The Chain Length 
options are; 
Default
500mm
750mm
1000mm
1250mm
1500mm
2000mm</t>
        </r>
      </text>
    </comment>
    <comment ref="P46" authorId="0" shapeId="0" xr:uid="{00000000-0006-0000-0800-00007D020000}">
      <text>
        <r>
          <rPr>
            <sz val="8"/>
            <color indexed="81"/>
            <rFont val="Tahoma"/>
            <family val="2"/>
          </rPr>
          <t>The Chain Colour 
options are;
Default
Stainless Steel
If Default is selected 
then the Chain Colour 
will be matched to the 
Head Box Colour.</t>
        </r>
      </text>
    </comment>
    <comment ref="Q46" authorId="0" shapeId="0" xr:uid="{00000000-0006-0000-0800-00007E020000}">
      <text>
        <r>
          <rPr>
            <sz val="8"/>
            <color indexed="81"/>
            <rFont val="Tahoma"/>
            <family val="2"/>
          </rPr>
          <t>For Multi Shade, 
Roman Shade and
Triple Shade,  
the  Fabric Insert  
options are;
No
Yes</t>
        </r>
      </text>
    </comment>
    <comment ref="R46" authorId="0" shapeId="0" xr:uid="{00000000-0006-0000-0800-00007F020000}">
      <text>
        <r>
          <rPr>
            <sz val="8"/>
            <color indexed="81"/>
            <rFont val="Tahoma"/>
            <family val="2"/>
          </rPr>
          <t>For Multi Shade, 
the options are;
Standard
Over Roll
For Roman Shade, 
the options are;
Over Roll
For Triple Shade, 
the options are;
Standard</t>
        </r>
      </text>
    </comment>
    <comment ref="T46" authorId="0" shapeId="0" xr:uid="{00000000-0006-0000-0800-000080020000}">
      <text>
        <r>
          <rPr>
            <sz val="8"/>
            <color indexed="81"/>
            <rFont val="Tahoma"/>
            <family val="2"/>
          </rPr>
          <t>Please use this section 
to specify 
any Special Requirements
for the Line/Order.</t>
        </r>
      </text>
    </comment>
    <comment ref="D47" authorId="0" shapeId="0" xr:uid="{00000000-0006-0000-0800-000081020000}">
      <text>
        <r>
          <rPr>
            <sz val="8"/>
            <color indexed="81"/>
            <rFont val="Tahoma"/>
            <family val="2"/>
          </rPr>
          <t>The Products options are;
Multi Shade
Roman Shade
Triple Shade</t>
        </r>
      </text>
    </comment>
    <comment ref="E47" authorId="0" shapeId="0" xr:uid="{00000000-0006-0000-0800-00008202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47" authorId="0" shapeId="0" xr:uid="{00000000-0006-0000-0800-000083020000}">
      <text>
        <r>
          <rPr>
            <sz val="8"/>
            <color indexed="81"/>
            <rFont val="Tahoma"/>
            <family val="2"/>
          </rPr>
          <t>The Colour can only be selected 
once the Product Type &amp; Finish has 
been entered.
Please refer to the Swatches.</t>
        </r>
      </text>
    </comment>
    <comment ref="G47" authorId="0" shapeId="0" xr:uid="{00000000-0006-0000-0800-00008402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7" authorId="0" shapeId="0" xr:uid="{00000000-0006-0000-0800-000085020000}">
      <text>
        <r>
          <rPr>
            <sz val="8"/>
            <color indexed="81"/>
            <rFont val="Tahoma"/>
            <family val="2"/>
          </rPr>
          <t xml:space="preserve">The Minimum Height/Drop is 300mm.
For the Multi Shade, 
Roman Shade &amp; 
Triple Shade options 
the Maximum Drop is 3000mm. </t>
        </r>
      </text>
    </comment>
    <comment ref="I47" authorId="0" shapeId="0" xr:uid="{00000000-0006-0000-0800-000086020000}">
      <text>
        <r>
          <rPr>
            <sz val="8"/>
            <color indexed="81"/>
            <rFont val="Tahoma"/>
            <family val="2"/>
          </rPr>
          <t>The Window Type 
options are;
Standard
Side By Side</t>
        </r>
      </text>
    </comment>
    <comment ref="J47" authorId="0" shapeId="0" xr:uid="{00000000-0006-0000-0800-000087020000}">
      <text>
        <r>
          <rPr>
            <sz val="8"/>
            <color indexed="81"/>
            <rFont val="Tahoma"/>
            <family val="2"/>
          </rPr>
          <t>The Fitting options are;
Face Fit
Recess Fit</t>
        </r>
      </text>
    </comment>
    <comment ref="K47" authorId="0" shapeId="0" xr:uid="{00000000-0006-0000-0800-00008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7" authorId="0" shapeId="0" xr:uid="{00000000-0006-0000-0800-000089020000}">
      <text>
        <r>
          <rPr>
            <sz val="8"/>
            <color indexed="81"/>
            <rFont val="Tahoma"/>
            <family val="2"/>
          </rPr>
          <t>The Head Box/Rail 
Colours are;
Default
Beige
Black
Dark Brown
Grey
Ivory
Light Brown
White</t>
        </r>
      </text>
    </comment>
    <comment ref="M47" authorId="0" shapeId="0" xr:uid="{00000000-0006-0000-0800-00008A02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47" authorId="0" shapeId="0" xr:uid="{00000000-0006-0000-0800-00008B020000}">
      <text>
        <r>
          <rPr>
            <sz val="8"/>
            <color indexed="81"/>
            <rFont val="Tahoma"/>
            <family val="2"/>
          </rPr>
          <t>The Control 
options are;
Left
Right</t>
        </r>
      </text>
    </comment>
    <comment ref="O47" authorId="0" shapeId="0" xr:uid="{00000000-0006-0000-0800-00008C020000}">
      <text>
        <r>
          <rPr>
            <sz val="8"/>
            <color indexed="81"/>
            <rFont val="Tahoma"/>
            <family val="2"/>
          </rPr>
          <t>The Chain Length 
options are; 
Default
500mm
750mm
1000mm
1250mm
1500mm
2000mm</t>
        </r>
      </text>
    </comment>
    <comment ref="P47" authorId="0" shapeId="0" xr:uid="{00000000-0006-0000-0800-00008D020000}">
      <text>
        <r>
          <rPr>
            <sz val="8"/>
            <color indexed="81"/>
            <rFont val="Tahoma"/>
            <family val="2"/>
          </rPr>
          <t>The Chain Colour 
options are;
Default
Stainless Steel
If Default is selected 
then the Chain Colour 
will be matched to the 
Head Box Colour.</t>
        </r>
      </text>
    </comment>
    <comment ref="Q47" authorId="0" shapeId="0" xr:uid="{00000000-0006-0000-0800-00008E020000}">
      <text>
        <r>
          <rPr>
            <sz val="8"/>
            <color indexed="81"/>
            <rFont val="Tahoma"/>
            <family val="2"/>
          </rPr>
          <t>For Multi Shade, 
Roman Shade and
Triple Shade,  
the  Fabric Insert  
options are;
No
Yes</t>
        </r>
      </text>
    </comment>
    <comment ref="R47" authorId="0" shapeId="0" xr:uid="{00000000-0006-0000-0800-00008F020000}">
      <text>
        <r>
          <rPr>
            <sz val="8"/>
            <color indexed="81"/>
            <rFont val="Tahoma"/>
            <family val="2"/>
          </rPr>
          <t>For Multi Shade, 
the options are;
Standard
Over Roll
For Roman Shade, 
the options are;
Over Roll
For Triple Shade, 
the options are;
Standard</t>
        </r>
      </text>
    </comment>
    <comment ref="T47" authorId="0" shapeId="0" xr:uid="{00000000-0006-0000-0800-000090020000}">
      <text>
        <r>
          <rPr>
            <sz val="8"/>
            <color indexed="81"/>
            <rFont val="Tahoma"/>
            <family val="2"/>
          </rPr>
          <t>Please use this section 
to specify 
any Special Requirements
for the Line/Order.</t>
        </r>
      </text>
    </comment>
    <comment ref="D48" authorId="0" shapeId="0" xr:uid="{00000000-0006-0000-0800-000091020000}">
      <text>
        <r>
          <rPr>
            <sz val="8"/>
            <color indexed="81"/>
            <rFont val="Tahoma"/>
            <family val="2"/>
          </rPr>
          <t>The Products options are;
Multi Shade
Roman Shade
Triple Shade</t>
        </r>
      </text>
    </comment>
    <comment ref="E48" authorId="0" shapeId="0" xr:uid="{00000000-0006-0000-0800-00009202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48" authorId="0" shapeId="0" xr:uid="{00000000-0006-0000-0800-000093020000}">
      <text>
        <r>
          <rPr>
            <sz val="8"/>
            <color indexed="81"/>
            <rFont val="Tahoma"/>
            <family val="2"/>
          </rPr>
          <t>The Colour can only be selected 
once the Product Type &amp; Finish has 
been entered.
Please refer to the Swatches.</t>
        </r>
      </text>
    </comment>
    <comment ref="G48" authorId="0" shapeId="0" xr:uid="{00000000-0006-0000-0800-00009402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8" authorId="0" shapeId="0" xr:uid="{00000000-0006-0000-0800-000095020000}">
      <text>
        <r>
          <rPr>
            <sz val="8"/>
            <color indexed="81"/>
            <rFont val="Tahoma"/>
            <family val="2"/>
          </rPr>
          <t xml:space="preserve">The Minimum Height/Drop is 300mm.
For the Multi Shade, 
Roman Shade &amp; 
Triple Shade options 
the Maximum Drop is 3000mm. </t>
        </r>
      </text>
    </comment>
    <comment ref="I48" authorId="0" shapeId="0" xr:uid="{00000000-0006-0000-0800-000096020000}">
      <text>
        <r>
          <rPr>
            <sz val="8"/>
            <color indexed="81"/>
            <rFont val="Tahoma"/>
            <family val="2"/>
          </rPr>
          <t>The Window Type 
options are;
Standard
Side By Side</t>
        </r>
      </text>
    </comment>
    <comment ref="J48" authorId="0" shapeId="0" xr:uid="{00000000-0006-0000-0800-000097020000}">
      <text>
        <r>
          <rPr>
            <sz val="8"/>
            <color indexed="81"/>
            <rFont val="Tahoma"/>
            <family val="2"/>
          </rPr>
          <t>The Fitting options are;
Face Fit
Recess Fit</t>
        </r>
      </text>
    </comment>
    <comment ref="K48" authorId="0" shapeId="0" xr:uid="{00000000-0006-0000-0800-00009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8" authorId="0" shapeId="0" xr:uid="{00000000-0006-0000-0800-000099020000}">
      <text>
        <r>
          <rPr>
            <sz val="8"/>
            <color indexed="81"/>
            <rFont val="Tahoma"/>
            <family val="2"/>
          </rPr>
          <t>The Head Box/Rail 
Colours are;
Default
Beige
Black
Dark Brown
Grey
Ivory
Light Brown
White</t>
        </r>
      </text>
    </comment>
    <comment ref="M48" authorId="0" shapeId="0" xr:uid="{00000000-0006-0000-0800-00009A02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48" authorId="0" shapeId="0" xr:uid="{00000000-0006-0000-0800-00009B020000}">
      <text>
        <r>
          <rPr>
            <sz val="8"/>
            <color indexed="81"/>
            <rFont val="Tahoma"/>
            <family val="2"/>
          </rPr>
          <t>The Control 
options are;
Left
Right</t>
        </r>
      </text>
    </comment>
    <comment ref="O48" authorId="0" shapeId="0" xr:uid="{00000000-0006-0000-0800-00009C020000}">
      <text>
        <r>
          <rPr>
            <sz val="8"/>
            <color indexed="81"/>
            <rFont val="Tahoma"/>
            <family val="2"/>
          </rPr>
          <t>The Chain Length 
options are; 
Default
500mm
750mm
1000mm
1250mm
1500mm
2000mm</t>
        </r>
      </text>
    </comment>
    <comment ref="P48" authorId="0" shapeId="0" xr:uid="{00000000-0006-0000-0800-00009D020000}">
      <text>
        <r>
          <rPr>
            <sz val="8"/>
            <color indexed="81"/>
            <rFont val="Tahoma"/>
            <family val="2"/>
          </rPr>
          <t>The Chain Colour 
options are;
Default
Stainless Steel
If Default is selected 
then the Chain Colour 
will be matched to the 
Head Box Colour.</t>
        </r>
      </text>
    </comment>
    <comment ref="Q48" authorId="0" shapeId="0" xr:uid="{00000000-0006-0000-0800-00009E020000}">
      <text>
        <r>
          <rPr>
            <sz val="8"/>
            <color indexed="81"/>
            <rFont val="Tahoma"/>
            <family val="2"/>
          </rPr>
          <t>For Multi Shade, 
Roman Shade and
Triple Shade,  
the  Fabric Insert  
options are;
No
Yes</t>
        </r>
      </text>
    </comment>
    <comment ref="R48" authorId="0" shapeId="0" xr:uid="{00000000-0006-0000-0800-00009F020000}">
      <text>
        <r>
          <rPr>
            <sz val="8"/>
            <color indexed="81"/>
            <rFont val="Tahoma"/>
            <family val="2"/>
          </rPr>
          <t>For Multi Shade, 
the options are;
Standard
Over Roll
For Roman Shade, 
the options are;
Over Roll
For Triple Shade, 
the options are;
Standard</t>
        </r>
      </text>
    </comment>
    <comment ref="T48" authorId="0" shapeId="0" xr:uid="{00000000-0006-0000-0800-0000A0020000}">
      <text>
        <r>
          <rPr>
            <sz val="8"/>
            <color indexed="81"/>
            <rFont val="Tahoma"/>
            <family val="2"/>
          </rPr>
          <t>Please use this section 
to specify 
any Special Requirements
for the Line/Order.</t>
        </r>
      </text>
    </comment>
    <comment ref="D49" authorId="0" shapeId="0" xr:uid="{00000000-0006-0000-0800-0000A1020000}">
      <text>
        <r>
          <rPr>
            <sz val="8"/>
            <color indexed="81"/>
            <rFont val="Tahoma"/>
            <family val="2"/>
          </rPr>
          <t>The Products options are;
Multi Shade
Roman Shade
Triple Shade</t>
        </r>
      </text>
    </comment>
    <comment ref="E49" authorId="0" shapeId="0" xr:uid="{00000000-0006-0000-0800-0000A202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49" authorId="0" shapeId="0" xr:uid="{00000000-0006-0000-0800-0000A3020000}">
      <text>
        <r>
          <rPr>
            <sz val="8"/>
            <color indexed="81"/>
            <rFont val="Tahoma"/>
            <family val="2"/>
          </rPr>
          <t>The Colour can only be selected 
once the Product Type &amp; Finish has 
been entered.
Please refer to the Swatches.</t>
        </r>
      </text>
    </comment>
    <comment ref="G49" authorId="0" shapeId="0" xr:uid="{00000000-0006-0000-0800-0000A402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9" authorId="0" shapeId="0" xr:uid="{00000000-0006-0000-0800-0000A5020000}">
      <text>
        <r>
          <rPr>
            <sz val="8"/>
            <color indexed="81"/>
            <rFont val="Tahoma"/>
            <family val="2"/>
          </rPr>
          <t xml:space="preserve">The Minimum Height/Drop is 300mm.
For the Multi Shade, 
Roman Shade &amp; 
Triple Shade options 
the Maximum Drop is 3000mm. </t>
        </r>
      </text>
    </comment>
    <comment ref="I49" authorId="0" shapeId="0" xr:uid="{00000000-0006-0000-0800-0000A6020000}">
      <text>
        <r>
          <rPr>
            <sz val="8"/>
            <color indexed="81"/>
            <rFont val="Tahoma"/>
            <family val="2"/>
          </rPr>
          <t>The Window Type 
options are;
Standard
Side By Side</t>
        </r>
      </text>
    </comment>
    <comment ref="J49" authorId="0" shapeId="0" xr:uid="{00000000-0006-0000-0800-0000A7020000}">
      <text>
        <r>
          <rPr>
            <sz val="8"/>
            <color indexed="81"/>
            <rFont val="Tahoma"/>
            <family val="2"/>
          </rPr>
          <t>The Fitting options are;
Face Fit
Recess Fit</t>
        </r>
      </text>
    </comment>
    <comment ref="K49" authorId="0" shapeId="0" xr:uid="{00000000-0006-0000-0800-0000A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9" authorId="0" shapeId="0" xr:uid="{00000000-0006-0000-0800-0000A9020000}">
      <text>
        <r>
          <rPr>
            <sz val="8"/>
            <color indexed="81"/>
            <rFont val="Tahoma"/>
            <family val="2"/>
          </rPr>
          <t>The Head Box/Rail 
Colours are;
Default
Beige
Black
Dark Brown
Grey
Ivory
Light Brown
White</t>
        </r>
      </text>
    </comment>
    <comment ref="M49" authorId="0" shapeId="0" xr:uid="{00000000-0006-0000-0800-0000AA02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49" authorId="0" shapeId="0" xr:uid="{00000000-0006-0000-0800-0000AB020000}">
      <text>
        <r>
          <rPr>
            <sz val="8"/>
            <color indexed="81"/>
            <rFont val="Tahoma"/>
            <family val="2"/>
          </rPr>
          <t>The Control 
options are;
Left
Right</t>
        </r>
      </text>
    </comment>
    <comment ref="O49" authorId="0" shapeId="0" xr:uid="{00000000-0006-0000-0800-0000AC020000}">
      <text>
        <r>
          <rPr>
            <sz val="8"/>
            <color indexed="81"/>
            <rFont val="Tahoma"/>
            <family val="2"/>
          </rPr>
          <t>The Chain Length 
options are; 
Default
500mm
750mm
1000mm
1250mm
1500mm
2000mm</t>
        </r>
      </text>
    </comment>
    <comment ref="P49" authorId="0" shapeId="0" xr:uid="{00000000-0006-0000-0800-0000AD020000}">
      <text>
        <r>
          <rPr>
            <sz val="8"/>
            <color indexed="81"/>
            <rFont val="Tahoma"/>
            <family val="2"/>
          </rPr>
          <t>The Chain Colour 
options are;
Default
Stainless Steel
If Default is selected 
then the Chain Colour 
will be matched to the 
Head Box Colour.</t>
        </r>
      </text>
    </comment>
    <comment ref="Q49" authorId="0" shapeId="0" xr:uid="{00000000-0006-0000-0800-0000AE020000}">
      <text>
        <r>
          <rPr>
            <sz val="8"/>
            <color indexed="81"/>
            <rFont val="Tahoma"/>
            <family val="2"/>
          </rPr>
          <t>For Multi Shade, 
Roman Shade and
Triple Shade,  
the  Fabric Insert  
options are;
No
Yes</t>
        </r>
      </text>
    </comment>
    <comment ref="R49" authorId="0" shapeId="0" xr:uid="{00000000-0006-0000-0800-0000AF020000}">
      <text>
        <r>
          <rPr>
            <sz val="8"/>
            <color indexed="81"/>
            <rFont val="Tahoma"/>
            <family val="2"/>
          </rPr>
          <t>For Multi Shade, 
the options are;
Standard
Over Roll
For Roman Shade, 
the options are;
Over Roll
For Triple Shade, 
the options are;
Standard</t>
        </r>
      </text>
    </comment>
    <comment ref="T49" authorId="0" shapeId="0" xr:uid="{00000000-0006-0000-0800-0000B0020000}">
      <text>
        <r>
          <rPr>
            <sz val="8"/>
            <color indexed="81"/>
            <rFont val="Tahoma"/>
            <family val="2"/>
          </rPr>
          <t>Please use this section 
to specify 
any Special Requirements
for the Line/Order.</t>
        </r>
      </text>
    </comment>
    <comment ref="D50" authorId="0" shapeId="0" xr:uid="{00000000-0006-0000-0800-0000B1020000}">
      <text>
        <r>
          <rPr>
            <sz val="8"/>
            <color indexed="81"/>
            <rFont val="Tahoma"/>
            <family val="2"/>
          </rPr>
          <t>The Products options are;
Multi Shade
Roman Shade
Triple Shade</t>
        </r>
      </text>
    </comment>
    <comment ref="E50" authorId="0" shapeId="0" xr:uid="{00000000-0006-0000-0800-0000B202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50" authorId="0" shapeId="0" xr:uid="{00000000-0006-0000-0800-0000B3020000}">
      <text>
        <r>
          <rPr>
            <sz val="8"/>
            <color indexed="81"/>
            <rFont val="Tahoma"/>
            <family val="2"/>
          </rPr>
          <t>The Colour can only be selected 
once the Product Type &amp; Finish has 
been entered.
Please refer to the Swatches.</t>
        </r>
      </text>
    </comment>
    <comment ref="G50" authorId="0" shapeId="0" xr:uid="{00000000-0006-0000-0800-0000B402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0" authorId="0" shapeId="0" xr:uid="{00000000-0006-0000-0800-0000B5020000}">
      <text>
        <r>
          <rPr>
            <sz val="8"/>
            <color indexed="81"/>
            <rFont val="Tahoma"/>
            <family val="2"/>
          </rPr>
          <t xml:space="preserve">The Minimum Height/Drop is 300mm.
For the Multi Shade, 
Roman Shade &amp; 
Triple Shade options 
the Maximum Drop is 3000mm. </t>
        </r>
      </text>
    </comment>
    <comment ref="I50" authorId="0" shapeId="0" xr:uid="{00000000-0006-0000-0800-0000B6020000}">
      <text>
        <r>
          <rPr>
            <sz val="8"/>
            <color indexed="81"/>
            <rFont val="Tahoma"/>
            <family val="2"/>
          </rPr>
          <t>The Window Type 
options are;
Standard
Side By Side</t>
        </r>
      </text>
    </comment>
    <comment ref="J50" authorId="0" shapeId="0" xr:uid="{00000000-0006-0000-0800-0000B7020000}">
      <text>
        <r>
          <rPr>
            <sz val="8"/>
            <color indexed="81"/>
            <rFont val="Tahoma"/>
            <family val="2"/>
          </rPr>
          <t>The Fitting options are;
Face Fit
Recess Fit</t>
        </r>
      </text>
    </comment>
    <comment ref="K50" authorId="0" shapeId="0" xr:uid="{00000000-0006-0000-0800-0000B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0" authorId="0" shapeId="0" xr:uid="{00000000-0006-0000-0800-0000B9020000}">
      <text>
        <r>
          <rPr>
            <sz val="8"/>
            <color indexed="81"/>
            <rFont val="Tahoma"/>
            <family val="2"/>
          </rPr>
          <t>The Head Box/Rail 
Colours are;
Default
Beige
Black
Dark Brown
Grey
Ivory
Light Brown
White</t>
        </r>
      </text>
    </comment>
    <comment ref="M50" authorId="0" shapeId="0" xr:uid="{00000000-0006-0000-0800-0000BA02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50" authorId="0" shapeId="0" xr:uid="{00000000-0006-0000-0800-0000BB020000}">
      <text>
        <r>
          <rPr>
            <sz val="8"/>
            <color indexed="81"/>
            <rFont val="Tahoma"/>
            <family val="2"/>
          </rPr>
          <t>The Control 
options are;
Left
Right</t>
        </r>
      </text>
    </comment>
    <comment ref="O50" authorId="0" shapeId="0" xr:uid="{00000000-0006-0000-0800-0000BC020000}">
      <text>
        <r>
          <rPr>
            <sz val="8"/>
            <color indexed="81"/>
            <rFont val="Tahoma"/>
            <family val="2"/>
          </rPr>
          <t>The Chain Length 
options are; 
Default
500mm
750mm
1000mm
1250mm
1500mm
2000mm</t>
        </r>
      </text>
    </comment>
    <comment ref="P50" authorId="0" shapeId="0" xr:uid="{00000000-0006-0000-0800-0000BD020000}">
      <text>
        <r>
          <rPr>
            <sz val="8"/>
            <color indexed="81"/>
            <rFont val="Tahoma"/>
            <family val="2"/>
          </rPr>
          <t>The Chain Colour 
options are;
Default
Stainless Steel
If Default is selected 
then the Chain Colour 
will be matched to the 
Head Box Colour.</t>
        </r>
      </text>
    </comment>
    <comment ref="Q50" authorId="0" shapeId="0" xr:uid="{00000000-0006-0000-0800-0000BE020000}">
      <text>
        <r>
          <rPr>
            <sz val="8"/>
            <color indexed="81"/>
            <rFont val="Tahoma"/>
            <family val="2"/>
          </rPr>
          <t>For Multi Shade, 
Roman Shade and
Triple Shade,  
the  Fabric Insert  
options are;
No
Yes</t>
        </r>
      </text>
    </comment>
    <comment ref="R50" authorId="0" shapeId="0" xr:uid="{00000000-0006-0000-0800-0000BF020000}">
      <text>
        <r>
          <rPr>
            <sz val="8"/>
            <color indexed="81"/>
            <rFont val="Tahoma"/>
            <family val="2"/>
          </rPr>
          <t>For Multi Shade, 
the options are;
Standard
Over Roll
For Roman Shade, 
the options are;
Over Roll
For Triple Shade, 
the options are;
Standard</t>
        </r>
      </text>
    </comment>
    <comment ref="T50" authorId="0" shapeId="0" xr:uid="{00000000-0006-0000-0800-0000C0020000}">
      <text>
        <r>
          <rPr>
            <sz val="8"/>
            <color indexed="81"/>
            <rFont val="Tahoma"/>
            <family val="2"/>
          </rPr>
          <t>Please use this section 
to specify 
any Special Requirements
for the Line/Order.</t>
        </r>
      </text>
    </comment>
    <comment ref="D51" authorId="0" shapeId="0" xr:uid="{00000000-0006-0000-0800-0000C1020000}">
      <text>
        <r>
          <rPr>
            <sz val="8"/>
            <color indexed="81"/>
            <rFont val="Tahoma"/>
            <family val="2"/>
          </rPr>
          <t>The Products options are;
Multi Shade
Roman Shade
Triple Shade</t>
        </r>
      </text>
    </comment>
    <comment ref="E51" authorId="0" shapeId="0" xr:uid="{00000000-0006-0000-0800-0000C202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51" authorId="0" shapeId="0" xr:uid="{00000000-0006-0000-0800-0000C3020000}">
      <text>
        <r>
          <rPr>
            <sz val="8"/>
            <color indexed="81"/>
            <rFont val="Tahoma"/>
            <family val="2"/>
          </rPr>
          <t>The Colour can only be selected 
once the Product Type &amp; Finish has 
been entered.
Please refer to the Swatches.</t>
        </r>
      </text>
    </comment>
    <comment ref="G51" authorId="0" shapeId="0" xr:uid="{00000000-0006-0000-0800-0000C402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1" authorId="0" shapeId="0" xr:uid="{00000000-0006-0000-0800-0000C5020000}">
      <text>
        <r>
          <rPr>
            <sz val="8"/>
            <color indexed="81"/>
            <rFont val="Tahoma"/>
            <family val="2"/>
          </rPr>
          <t xml:space="preserve">The Minimum Height/Drop is 300mm.
For the Multi Shade, 
Roman Shade &amp; 
Triple Shade options 
the Maximum Drop is 3000mm. </t>
        </r>
      </text>
    </comment>
    <comment ref="I51" authorId="0" shapeId="0" xr:uid="{00000000-0006-0000-0800-0000C6020000}">
      <text>
        <r>
          <rPr>
            <sz val="8"/>
            <color indexed="81"/>
            <rFont val="Tahoma"/>
            <family val="2"/>
          </rPr>
          <t>The Window Type 
options are;
Standard
Side By Side</t>
        </r>
      </text>
    </comment>
    <comment ref="J51" authorId="0" shapeId="0" xr:uid="{00000000-0006-0000-0800-0000C7020000}">
      <text>
        <r>
          <rPr>
            <sz val="8"/>
            <color indexed="81"/>
            <rFont val="Tahoma"/>
            <family val="2"/>
          </rPr>
          <t>The Fitting options are;
Face Fit
Recess Fit</t>
        </r>
      </text>
    </comment>
    <comment ref="K51" authorId="0" shapeId="0" xr:uid="{00000000-0006-0000-0800-0000C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1" authorId="0" shapeId="0" xr:uid="{00000000-0006-0000-0800-0000C9020000}">
      <text>
        <r>
          <rPr>
            <sz val="8"/>
            <color indexed="81"/>
            <rFont val="Tahoma"/>
            <family val="2"/>
          </rPr>
          <t>The Head Box/Rail 
Colours are;
Default
Beige
Black
Dark Brown
Grey
Ivory
Light Brown
White</t>
        </r>
      </text>
    </comment>
    <comment ref="M51" authorId="0" shapeId="0" xr:uid="{00000000-0006-0000-0800-0000CA02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51" authorId="0" shapeId="0" xr:uid="{00000000-0006-0000-0800-0000CB020000}">
      <text>
        <r>
          <rPr>
            <sz val="8"/>
            <color indexed="81"/>
            <rFont val="Tahoma"/>
            <family val="2"/>
          </rPr>
          <t>The Control 
options are;
Left
Right</t>
        </r>
      </text>
    </comment>
    <comment ref="O51" authorId="0" shapeId="0" xr:uid="{00000000-0006-0000-0800-0000CC020000}">
      <text>
        <r>
          <rPr>
            <sz val="8"/>
            <color indexed="81"/>
            <rFont val="Tahoma"/>
            <family val="2"/>
          </rPr>
          <t>The Chain Length 
options are; 
Default
500mm
750mm
1000mm
1250mm
1500mm
2000mm</t>
        </r>
      </text>
    </comment>
    <comment ref="P51" authorId="0" shapeId="0" xr:uid="{00000000-0006-0000-0800-0000CD020000}">
      <text>
        <r>
          <rPr>
            <sz val="8"/>
            <color indexed="81"/>
            <rFont val="Tahoma"/>
            <family val="2"/>
          </rPr>
          <t>The Chain Colour 
options are;
Default
Stainless Steel
If Default is selected 
then the Chain Colour 
will be matched to the 
Head Box Colour.</t>
        </r>
      </text>
    </comment>
    <comment ref="Q51" authorId="0" shapeId="0" xr:uid="{00000000-0006-0000-0800-0000CE020000}">
      <text>
        <r>
          <rPr>
            <sz val="8"/>
            <color indexed="81"/>
            <rFont val="Tahoma"/>
            <family val="2"/>
          </rPr>
          <t>For Multi Shade, 
Roman Shade and
Triple Shade,  
the  Fabric Insert  
options are;
No
Yes</t>
        </r>
      </text>
    </comment>
    <comment ref="R51" authorId="0" shapeId="0" xr:uid="{00000000-0006-0000-0800-0000CF020000}">
      <text>
        <r>
          <rPr>
            <sz val="8"/>
            <color indexed="81"/>
            <rFont val="Tahoma"/>
            <family val="2"/>
          </rPr>
          <t>For Multi Shade, 
the options are;
Standard
Over Roll
For Roman Shade, 
the options are;
Over Roll
For Triple Shade, 
the options are;
Standard</t>
        </r>
      </text>
    </comment>
    <comment ref="T51" authorId="0" shapeId="0" xr:uid="{00000000-0006-0000-0800-0000D0020000}">
      <text>
        <r>
          <rPr>
            <sz val="8"/>
            <color indexed="81"/>
            <rFont val="Tahoma"/>
            <family val="2"/>
          </rPr>
          <t>Please use this section 
to specify 
any Special Requirements
for the Line/Order.</t>
        </r>
      </text>
    </comment>
    <comment ref="D52" authorId="0" shapeId="0" xr:uid="{00000000-0006-0000-0800-0000D1020000}">
      <text>
        <r>
          <rPr>
            <sz val="8"/>
            <color indexed="81"/>
            <rFont val="Tahoma"/>
            <family val="2"/>
          </rPr>
          <t>The Products options are;
Multi Shade
Roman Shade
Triple Shade</t>
        </r>
      </text>
    </comment>
    <comment ref="E52" authorId="0" shapeId="0" xr:uid="{00000000-0006-0000-0800-0000D202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52" authorId="0" shapeId="0" xr:uid="{00000000-0006-0000-0800-0000D3020000}">
      <text>
        <r>
          <rPr>
            <sz val="8"/>
            <color indexed="81"/>
            <rFont val="Tahoma"/>
            <family val="2"/>
          </rPr>
          <t>The Colour can only be selected 
once the Product Type &amp; Finish has 
been entered.
Please refer to the Swatches.</t>
        </r>
      </text>
    </comment>
    <comment ref="G52" authorId="0" shapeId="0" xr:uid="{00000000-0006-0000-0800-0000D402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2" authorId="0" shapeId="0" xr:uid="{00000000-0006-0000-0800-0000D5020000}">
      <text>
        <r>
          <rPr>
            <sz val="8"/>
            <color indexed="81"/>
            <rFont val="Tahoma"/>
            <family val="2"/>
          </rPr>
          <t xml:space="preserve">The Minimum Height/Drop is 300mm.
For the Multi Shade, 
Roman Shade &amp; 
Triple Shade options 
the Maximum Drop is 3000mm. </t>
        </r>
      </text>
    </comment>
    <comment ref="I52" authorId="0" shapeId="0" xr:uid="{00000000-0006-0000-0800-0000D6020000}">
      <text>
        <r>
          <rPr>
            <sz val="8"/>
            <color indexed="81"/>
            <rFont val="Tahoma"/>
            <family val="2"/>
          </rPr>
          <t>The Window Type 
options are;
Standard
Side By Side</t>
        </r>
      </text>
    </comment>
    <comment ref="J52" authorId="0" shapeId="0" xr:uid="{00000000-0006-0000-0800-0000D7020000}">
      <text>
        <r>
          <rPr>
            <sz val="8"/>
            <color indexed="81"/>
            <rFont val="Tahoma"/>
            <family val="2"/>
          </rPr>
          <t>The Fitting options are;
Face Fit
Recess Fit</t>
        </r>
      </text>
    </comment>
    <comment ref="K52" authorId="0" shapeId="0" xr:uid="{00000000-0006-0000-0800-0000D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2" authorId="0" shapeId="0" xr:uid="{00000000-0006-0000-0800-0000D9020000}">
      <text>
        <r>
          <rPr>
            <sz val="8"/>
            <color indexed="81"/>
            <rFont val="Tahoma"/>
            <family val="2"/>
          </rPr>
          <t>The Head Box/Rail 
Colours are;
Default
Beige
Black
Dark Brown
Grey
Ivory
Light Brown
White</t>
        </r>
      </text>
    </comment>
    <comment ref="M52" authorId="0" shapeId="0" xr:uid="{00000000-0006-0000-0800-0000DA02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52" authorId="0" shapeId="0" xr:uid="{00000000-0006-0000-0800-0000DB020000}">
      <text>
        <r>
          <rPr>
            <sz val="8"/>
            <color indexed="81"/>
            <rFont val="Tahoma"/>
            <family val="2"/>
          </rPr>
          <t>The Control 
options are;
Left
Right</t>
        </r>
      </text>
    </comment>
    <comment ref="O52" authorId="0" shapeId="0" xr:uid="{00000000-0006-0000-0800-0000DC020000}">
      <text>
        <r>
          <rPr>
            <sz val="8"/>
            <color indexed="81"/>
            <rFont val="Tahoma"/>
            <family val="2"/>
          </rPr>
          <t>The Chain Length 
options are; 
Default
500mm
750mm
1000mm
1250mm
1500mm
2000mm</t>
        </r>
      </text>
    </comment>
    <comment ref="P52" authorId="0" shapeId="0" xr:uid="{00000000-0006-0000-0800-0000DD020000}">
      <text>
        <r>
          <rPr>
            <sz val="8"/>
            <color indexed="81"/>
            <rFont val="Tahoma"/>
            <family val="2"/>
          </rPr>
          <t>The Chain Colour 
options are;
Default
Stainless Steel
If Default is selected 
then the Chain Colour 
will be matched to the 
Head Box Colour.</t>
        </r>
      </text>
    </comment>
    <comment ref="Q52" authorId="0" shapeId="0" xr:uid="{00000000-0006-0000-0800-0000DE020000}">
      <text>
        <r>
          <rPr>
            <sz val="8"/>
            <color indexed="81"/>
            <rFont val="Tahoma"/>
            <family val="2"/>
          </rPr>
          <t>For Multi Shade, 
Roman Shade and
Triple Shade,  
the  Fabric Insert  
options are;
No
Yes</t>
        </r>
      </text>
    </comment>
    <comment ref="R52" authorId="0" shapeId="0" xr:uid="{00000000-0006-0000-0800-0000DF020000}">
      <text>
        <r>
          <rPr>
            <sz val="8"/>
            <color indexed="81"/>
            <rFont val="Tahoma"/>
            <family val="2"/>
          </rPr>
          <t>For Multi Shade, 
the options are;
Standard
Over Roll
For Roman Shade, 
the options are;
Over Roll
For Triple Shade, 
the options are;
Standard</t>
        </r>
      </text>
    </comment>
    <comment ref="T52" authorId="0" shapeId="0" xr:uid="{00000000-0006-0000-0800-0000E0020000}">
      <text>
        <r>
          <rPr>
            <sz val="8"/>
            <color indexed="81"/>
            <rFont val="Tahoma"/>
            <family val="2"/>
          </rPr>
          <t>Please use this section 
to specify 
any Special Requirements
for the Line/Order.</t>
        </r>
      </text>
    </comment>
    <comment ref="D53" authorId="0" shapeId="0" xr:uid="{00000000-0006-0000-0800-0000E1020000}">
      <text>
        <r>
          <rPr>
            <sz val="8"/>
            <color indexed="81"/>
            <rFont val="Tahoma"/>
            <family val="2"/>
          </rPr>
          <t>The Products options are;
Multi Shade
Roman Shade
Triple Shade</t>
        </r>
      </text>
    </comment>
    <comment ref="E53" authorId="0" shapeId="0" xr:uid="{00000000-0006-0000-0800-0000E202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53" authorId="0" shapeId="0" xr:uid="{00000000-0006-0000-0800-0000E3020000}">
      <text>
        <r>
          <rPr>
            <sz val="8"/>
            <color indexed="81"/>
            <rFont val="Tahoma"/>
            <family val="2"/>
          </rPr>
          <t>The Colour can only be selected 
once the Product Type &amp; Finish has 
been entered.
Please refer to the Swatches.</t>
        </r>
      </text>
    </comment>
    <comment ref="G53" authorId="0" shapeId="0" xr:uid="{00000000-0006-0000-0800-0000E402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3" authorId="0" shapeId="0" xr:uid="{00000000-0006-0000-0800-0000E5020000}">
      <text>
        <r>
          <rPr>
            <sz val="8"/>
            <color indexed="81"/>
            <rFont val="Tahoma"/>
            <family val="2"/>
          </rPr>
          <t xml:space="preserve">The Minimum Height/Drop is 300mm.
For the Multi Shade, 
Roman Shade &amp; 
Triple Shade options 
the Maximum Drop is 3000mm. </t>
        </r>
      </text>
    </comment>
    <comment ref="I53" authorId="0" shapeId="0" xr:uid="{00000000-0006-0000-0800-0000E6020000}">
      <text>
        <r>
          <rPr>
            <sz val="8"/>
            <color indexed="81"/>
            <rFont val="Tahoma"/>
            <family val="2"/>
          </rPr>
          <t>The Window Type 
options are;
Standard
Side By Side</t>
        </r>
      </text>
    </comment>
    <comment ref="J53" authorId="0" shapeId="0" xr:uid="{00000000-0006-0000-0800-0000E7020000}">
      <text>
        <r>
          <rPr>
            <sz val="8"/>
            <color indexed="81"/>
            <rFont val="Tahoma"/>
            <family val="2"/>
          </rPr>
          <t>The Fitting options are;
Face Fit
Recess Fit</t>
        </r>
      </text>
    </comment>
    <comment ref="K53" authorId="0" shapeId="0" xr:uid="{00000000-0006-0000-0800-0000E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3" authorId="0" shapeId="0" xr:uid="{00000000-0006-0000-0800-0000E9020000}">
      <text>
        <r>
          <rPr>
            <sz val="8"/>
            <color indexed="81"/>
            <rFont val="Tahoma"/>
            <family val="2"/>
          </rPr>
          <t>The Head Box/Rail 
Colours are;
Default
Beige
Black
Dark Brown
Grey
Ivory
Light Brown
White</t>
        </r>
      </text>
    </comment>
    <comment ref="M53" authorId="0" shapeId="0" xr:uid="{00000000-0006-0000-0800-0000EA02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53" authorId="0" shapeId="0" xr:uid="{00000000-0006-0000-0800-0000EB020000}">
      <text>
        <r>
          <rPr>
            <sz val="8"/>
            <color indexed="81"/>
            <rFont val="Tahoma"/>
            <family val="2"/>
          </rPr>
          <t>The Control 
options are;
Left
Right</t>
        </r>
      </text>
    </comment>
    <comment ref="O53" authorId="0" shapeId="0" xr:uid="{00000000-0006-0000-0800-0000EC020000}">
      <text>
        <r>
          <rPr>
            <sz val="8"/>
            <color indexed="81"/>
            <rFont val="Tahoma"/>
            <family val="2"/>
          </rPr>
          <t>The Chain Length 
options are; 
Default
500mm
750mm
1000mm
1250mm
1500mm
2000mm</t>
        </r>
      </text>
    </comment>
    <comment ref="P53" authorId="0" shapeId="0" xr:uid="{00000000-0006-0000-0800-0000ED020000}">
      <text>
        <r>
          <rPr>
            <sz val="8"/>
            <color indexed="81"/>
            <rFont val="Tahoma"/>
            <family val="2"/>
          </rPr>
          <t>The Chain Colour 
options are;
Default
Stainless Steel
If Default is selected 
then the Chain Colour 
will be matched to the 
Head Box Colour.</t>
        </r>
      </text>
    </comment>
    <comment ref="Q53" authorId="0" shapeId="0" xr:uid="{00000000-0006-0000-0800-0000EE020000}">
      <text>
        <r>
          <rPr>
            <sz val="8"/>
            <color indexed="81"/>
            <rFont val="Tahoma"/>
            <family val="2"/>
          </rPr>
          <t>For Multi Shade, 
Roman Shade and
Triple Shade,  
the  Fabric Insert  
options are;
No
Yes</t>
        </r>
      </text>
    </comment>
    <comment ref="R53" authorId="0" shapeId="0" xr:uid="{00000000-0006-0000-0800-0000EF020000}">
      <text>
        <r>
          <rPr>
            <sz val="8"/>
            <color indexed="81"/>
            <rFont val="Tahoma"/>
            <family val="2"/>
          </rPr>
          <t>For Multi Shade, 
the options are;
Standard
Over Roll
For Roman Shade, 
the options are;
Over Roll
For Triple Shade, 
the options are;
Standard</t>
        </r>
      </text>
    </comment>
    <comment ref="T53" authorId="0" shapeId="0" xr:uid="{00000000-0006-0000-0800-0000F0020000}">
      <text>
        <r>
          <rPr>
            <sz val="8"/>
            <color indexed="81"/>
            <rFont val="Tahoma"/>
            <family val="2"/>
          </rPr>
          <t>Please use this section 
to specify 
any Special Requirements
for the Line/Order.</t>
        </r>
      </text>
    </comment>
    <comment ref="D54" authorId="0" shapeId="0" xr:uid="{00000000-0006-0000-0800-0000F1020000}">
      <text>
        <r>
          <rPr>
            <sz val="8"/>
            <color indexed="81"/>
            <rFont val="Tahoma"/>
            <family val="2"/>
          </rPr>
          <t>The Products options are;
Multi Shade
Roman Shade
Triple Shade</t>
        </r>
      </text>
    </comment>
    <comment ref="E54" authorId="0" shapeId="0" xr:uid="{00000000-0006-0000-0800-0000F202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54" authorId="0" shapeId="0" xr:uid="{00000000-0006-0000-0800-0000F3020000}">
      <text>
        <r>
          <rPr>
            <sz val="8"/>
            <color indexed="81"/>
            <rFont val="Tahoma"/>
            <family val="2"/>
          </rPr>
          <t>The Colour can only be selected 
once the Product Type &amp; Finish has 
been entered.
Please refer to the Swatches.</t>
        </r>
      </text>
    </comment>
    <comment ref="G54" authorId="0" shapeId="0" xr:uid="{00000000-0006-0000-0800-0000F402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4" authorId="0" shapeId="0" xr:uid="{00000000-0006-0000-0800-0000F5020000}">
      <text>
        <r>
          <rPr>
            <sz val="8"/>
            <color indexed="81"/>
            <rFont val="Tahoma"/>
            <family val="2"/>
          </rPr>
          <t xml:space="preserve">The Minimum Height/Drop is 300mm.
For the Multi Shade, 
Roman Shade &amp; 
Triple Shade options 
the Maximum Drop is 3000mm. </t>
        </r>
      </text>
    </comment>
    <comment ref="I54" authorId="0" shapeId="0" xr:uid="{00000000-0006-0000-0800-0000F6020000}">
      <text>
        <r>
          <rPr>
            <sz val="8"/>
            <color indexed="81"/>
            <rFont val="Tahoma"/>
            <family val="2"/>
          </rPr>
          <t>The Window Type 
options are;
Standard
Side By Side</t>
        </r>
      </text>
    </comment>
    <comment ref="J54" authorId="0" shapeId="0" xr:uid="{00000000-0006-0000-0800-0000F7020000}">
      <text>
        <r>
          <rPr>
            <sz val="8"/>
            <color indexed="81"/>
            <rFont val="Tahoma"/>
            <family val="2"/>
          </rPr>
          <t>The Fitting options are;
Face Fit
Recess Fit</t>
        </r>
      </text>
    </comment>
    <comment ref="K54" authorId="0" shapeId="0" xr:uid="{00000000-0006-0000-0800-0000F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4" authorId="0" shapeId="0" xr:uid="{00000000-0006-0000-0800-0000F9020000}">
      <text>
        <r>
          <rPr>
            <sz val="8"/>
            <color indexed="81"/>
            <rFont val="Tahoma"/>
            <family val="2"/>
          </rPr>
          <t>The Head Box/Rail 
Colours are;
Default
Beige
Black
Dark Brown
Grey
Ivory
Light Brown
White</t>
        </r>
      </text>
    </comment>
    <comment ref="M54" authorId="0" shapeId="0" xr:uid="{00000000-0006-0000-0800-0000FA02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54" authorId="0" shapeId="0" xr:uid="{00000000-0006-0000-0800-0000FB020000}">
      <text>
        <r>
          <rPr>
            <sz val="8"/>
            <color indexed="81"/>
            <rFont val="Tahoma"/>
            <family val="2"/>
          </rPr>
          <t>The Control 
options are;
Left
Right</t>
        </r>
      </text>
    </comment>
    <comment ref="O54" authorId="0" shapeId="0" xr:uid="{00000000-0006-0000-0800-0000FC020000}">
      <text>
        <r>
          <rPr>
            <sz val="8"/>
            <color indexed="81"/>
            <rFont val="Tahoma"/>
            <family val="2"/>
          </rPr>
          <t>The Chain Length 
options are; 
Default
500mm
750mm
1000mm
1250mm
1500mm
2000mm</t>
        </r>
      </text>
    </comment>
    <comment ref="P54" authorId="0" shapeId="0" xr:uid="{00000000-0006-0000-0800-0000FD020000}">
      <text>
        <r>
          <rPr>
            <sz val="8"/>
            <color indexed="81"/>
            <rFont val="Tahoma"/>
            <family val="2"/>
          </rPr>
          <t>The Chain Colour 
options are;
Default
Stainless Steel
If Default is selected 
then the Chain Colour 
will be matched to the 
Head Box Colour.</t>
        </r>
      </text>
    </comment>
    <comment ref="Q54" authorId="0" shapeId="0" xr:uid="{00000000-0006-0000-0800-0000FE020000}">
      <text>
        <r>
          <rPr>
            <sz val="8"/>
            <color indexed="81"/>
            <rFont val="Tahoma"/>
            <family val="2"/>
          </rPr>
          <t>For Multi Shade, 
Roman Shade and
Triple Shade,  
the  Fabric Insert  
options are;
No
Yes</t>
        </r>
      </text>
    </comment>
    <comment ref="R54" authorId="0" shapeId="0" xr:uid="{00000000-0006-0000-0800-0000FF020000}">
      <text>
        <r>
          <rPr>
            <sz val="8"/>
            <color indexed="81"/>
            <rFont val="Tahoma"/>
            <family val="2"/>
          </rPr>
          <t>For Multi Shade, 
the options are;
Standard
Over Roll
For Roman Shade, 
the options are;
Over Roll
For Triple Shade, 
the options are;
Standard</t>
        </r>
      </text>
    </comment>
    <comment ref="T54" authorId="0" shapeId="0" xr:uid="{00000000-0006-0000-0800-000000030000}">
      <text>
        <r>
          <rPr>
            <sz val="8"/>
            <color indexed="81"/>
            <rFont val="Tahoma"/>
            <family val="2"/>
          </rPr>
          <t>Please use this section 
to specify 
any Special Requirements
for the Line/Order.</t>
        </r>
      </text>
    </comment>
    <comment ref="D55" authorId="0" shapeId="0" xr:uid="{00000000-0006-0000-0800-000001030000}">
      <text>
        <r>
          <rPr>
            <sz val="8"/>
            <color indexed="81"/>
            <rFont val="Tahoma"/>
            <family val="2"/>
          </rPr>
          <t>The Products options are;
Multi Shade
Roman Shade
Triple Shade</t>
        </r>
      </text>
    </comment>
    <comment ref="E55" authorId="0" shapeId="0" xr:uid="{00000000-0006-0000-0800-00000203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55" authorId="0" shapeId="0" xr:uid="{00000000-0006-0000-0800-000003030000}">
      <text>
        <r>
          <rPr>
            <sz val="8"/>
            <color indexed="81"/>
            <rFont val="Tahoma"/>
            <family val="2"/>
          </rPr>
          <t>The Colour can only be selected 
once the Product Type &amp; Finish has 
been entered.
Please refer to the Swatches.</t>
        </r>
      </text>
    </comment>
    <comment ref="G55" authorId="0" shapeId="0" xr:uid="{00000000-0006-0000-0800-00000403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5" authorId="0" shapeId="0" xr:uid="{00000000-0006-0000-0800-000005030000}">
      <text>
        <r>
          <rPr>
            <sz val="8"/>
            <color indexed="81"/>
            <rFont val="Tahoma"/>
            <family val="2"/>
          </rPr>
          <t xml:space="preserve">The Minimum Height/Drop is 300mm.
For the Multi Shade, 
Roman Shade &amp; 
Triple Shade options 
the Maximum Drop is 3000mm. </t>
        </r>
      </text>
    </comment>
    <comment ref="I55" authorId="0" shapeId="0" xr:uid="{00000000-0006-0000-0800-000006030000}">
      <text>
        <r>
          <rPr>
            <sz val="8"/>
            <color indexed="81"/>
            <rFont val="Tahoma"/>
            <family val="2"/>
          </rPr>
          <t>The Window Type 
options are;
Standard
Side By Side</t>
        </r>
      </text>
    </comment>
    <comment ref="J55" authorId="0" shapeId="0" xr:uid="{00000000-0006-0000-0800-000007030000}">
      <text>
        <r>
          <rPr>
            <sz val="8"/>
            <color indexed="81"/>
            <rFont val="Tahoma"/>
            <family val="2"/>
          </rPr>
          <t>The Fitting options are;
Face Fit
Recess Fit</t>
        </r>
      </text>
    </comment>
    <comment ref="K55" authorId="0" shapeId="0" xr:uid="{00000000-0006-0000-0800-00000803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5" authorId="0" shapeId="0" xr:uid="{00000000-0006-0000-0800-000009030000}">
      <text>
        <r>
          <rPr>
            <sz val="8"/>
            <color indexed="81"/>
            <rFont val="Tahoma"/>
            <family val="2"/>
          </rPr>
          <t>The Head Box/Rail 
Colours are;
Default
Beige
Black
Dark Brown
Grey
Ivory
Light Brown
White</t>
        </r>
      </text>
    </comment>
    <comment ref="M55" authorId="0" shapeId="0" xr:uid="{00000000-0006-0000-0800-00000A03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55" authorId="0" shapeId="0" xr:uid="{00000000-0006-0000-0800-00000B030000}">
      <text>
        <r>
          <rPr>
            <sz val="8"/>
            <color indexed="81"/>
            <rFont val="Tahoma"/>
            <family val="2"/>
          </rPr>
          <t>The Control 
options are;
Left
Right</t>
        </r>
      </text>
    </comment>
    <comment ref="O55" authorId="0" shapeId="0" xr:uid="{00000000-0006-0000-0800-00000C030000}">
      <text>
        <r>
          <rPr>
            <sz val="8"/>
            <color indexed="81"/>
            <rFont val="Tahoma"/>
            <family val="2"/>
          </rPr>
          <t>The Chain Length 
options are; 
Default
500mm
750mm
1000mm
1250mm
1500mm
2000mm</t>
        </r>
      </text>
    </comment>
    <comment ref="P55" authorId="0" shapeId="0" xr:uid="{00000000-0006-0000-0800-00000D030000}">
      <text>
        <r>
          <rPr>
            <sz val="8"/>
            <color indexed="81"/>
            <rFont val="Tahoma"/>
            <family val="2"/>
          </rPr>
          <t>The Chain Colour 
options are;
Default
Stainless Steel
If Default is selected 
then the Chain Colour 
will be matched to the 
Head Box Colour.</t>
        </r>
      </text>
    </comment>
    <comment ref="Q55" authorId="0" shapeId="0" xr:uid="{00000000-0006-0000-0800-00000E030000}">
      <text>
        <r>
          <rPr>
            <sz val="8"/>
            <color indexed="81"/>
            <rFont val="Tahoma"/>
            <family val="2"/>
          </rPr>
          <t>For Multi Shade, 
Roman Shade and
Triple Shade,  
the  Fabric Insert  
options are;
No
Yes</t>
        </r>
      </text>
    </comment>
    <comment ref="R55" authorId="0" shapeId="0" xr:uid="{00000000-0006-0000-0800-00000F030000}">
      <text>
        <r>
          <rPr>
            <sz val="8"/>
            <color indexed="81"/>
            <rFont val="Tahoma"/>
            <family val="2"/>
          </rPr>
          <t>For Multi Shade, 
the options are;
Standard
Over Roll
For Roman Shade, 
the options are;
Over Roll
For Triple Shade, 
the options are;
Standard</t>
        </r>
      </text>
    </comment>
    <comment ref="T55" authorId="0" shapeId="0" xr:uid="{00000000-0006-0000-0800-000010030000}">
      <text>
        <r>
          <rPr>
            <sz val="8"/>
            <color indexed="81"/>
            <rFont val="Tahoma"/>
            <family val="2"/>
          </rPr>
          <t>Please use this section 
to specify 
any Special Requirements
for the Line/Order.</t>
        </r>
      </text>
    </comment>
    <comment ref="D56" authorId="0" shapeId="0" xr:uid="{00000000-0006-0000-0800-000011030000}">
      <text>
        <r>
          <rPr>
            <sz val="8"/>
            <color indexed="81"/>
            <rFont val="Tahoma"/>
            <family val="2"/>
          </rPr>
          <t>The Products options are;
Multi Shade
Roman Shade
Triple Shade</t>
        </r>
      </text>
    </comment>
    <comment ref="E56" authorId="0" shapeId="0" xr:uid="{00000000-0006-0000-0800-00001203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56" authorId="0" shapeId="0" xr:uid="{00000000-0006-0000-0800-000013030000}">
      <text>
        <r>
          <rPr>
            <sz val="8"/>
            <color indexed="81"/>
            <rFont val="Tahoma"/>
            <family val="2"/>
          </rPr>
          <t>The Colour can only be selected 
once the Product Type &amp; Finish has 
been entered.
Please refer to the Swatches.</t>
        </r>
      </text>
    </comment>
    <comment ref="G56" authorId="0" shapeId="0" xr:uid="{00000000-0006-0000-0800-00001403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6" authorId="0" shapeId="0" xr:uid="{00000000-0006-0000-0800-000015030000}">
      <text>
        <r>
          <rPr>
            <sz val="8"/>
            <color indexed="81"/>
            <rFont val="Tahoma"/>
            <family val="2"/>
          </rPr>
          <t xml:space="preserve">The Minimum Height/Drop is 300mm.
For the Multi Shade, 
Roman Shade &amp; 
Triple Shade options 
the Maximum Drop is 3000mm. </t>
        </r>
      </text>
    </comment>
    <comment ref="I56" authorId="0" shapeId="0" xr:uid="{00000000-0006-0000-0800-000016030000}">
      <text>
        <r>
          <rPr>
            <sz val="8"/>
            <color indexed="81"/>
            <rFont val="Tahoma"/>
            <family val="2"/>
          </rPr>
          <t>The Window Type 
options are;
Standard
Side By Side</t>
        </r>
      </text>
    </comment>
    <comment ref="J56" authorId="0" shapeId="0" xr:uid="{00000000-0006-0000-0800-000017030000}">
      <text>
        <r>
          <rPr>
            <sz val="8"/>
            <color indexed="81"/>
            <rFont val="Tahoma"/>
            <family val="2"/>
          </rPr>
          <t>The Fitting options are;
Face Fit
Recess Fit</t>
        </r>
      </text>
    </comment>
    <comment ref="K56" authorId="0" shapeId="0" xr:uid="{00000000-0006-0000-0800-00001803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6" authorId="0" shapeId="0" xr:uid="{00000000-0006-0000-0800-000019030000}">
      <text>
        <r>
          <rPr>
            <sz val="8"/>
            <color indexed="81"/>
            <rFont val="Tahoma"/>
            <family val="2"/>
          </rPr>
          <t>The Head Box/Rail 
Colours are;
Default
Beige
Black
Dark Brown
Grey
Ivory
Light Brown
White</t>
        </r>
      </text>
    </comment>
    <comment ref="M56" authorId="0" shapeId="0" xr:uid="{00000000-0006-0000-0800-00001A03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56" authorId="0" shapeId="0" xr:uid="{00000000-0006-0000-0800-00001B030000}">
      <text>
        <r>
          <rPr>
            <sz val="8"/>
            <color indexed="81"/>
            <rFont val="Tahoma"/>
            <family val="2"/>
          </rPr>
          <t>The Control 
options are;
Left
Right</t>
        </r>
      </text>
    </comment>
    <comment ref="O56" authorId="0" shapeId="0" xr:uid="{00000000-0006-0000-0800-00001C030000}">
      <text>
        <r>
          <rPr>
            <sz val="8"/>
            <color indexed="81"/>
            <rFont val="Tahoma"/>
            <family val="2"/>
          </rPr>
          <t>The Chain Length 
options are; 
Default
500mm
750mm
1000mm
1250mm
1500mm
2000mm</t>
        </r>
      </text>
    </comment>
    <comment ref="P56" authorId="0" shapeId="0" xr:uid="{00000000-0006-0000-0800-00001D030000}">
      <text>
        <r>
          <rPr>
            <sz val="8"/>
            <color indexed="81"/>
            <rFont val="Tahoma"/>
            <family val="2"/>
          </rPr>
          <t>The Chain Colour 
options are;
Default
Stainless Steel
If Default is selected 
then the Chain Colour 
will be matched to the 
Head Box Colour.</t>
        </r>
      </text>
    </comment>
    <comment ref="Q56" authorId="0" shapeId="0" xr:uid="{00000000-0006-0000-0800-00001E030000}">
      <text>
        <r>
          <rPr>
            <sz val="8"/>
            <color indexed="81"/>
            <rFont val="Tahoma"/>
            <family val="2"/>
          </rPr>
          <t>For Multi Shade, 
Roman Shade and
Triple Shade,  
the  Fabric Insert  
options are;
No
Yes</t>
        </r>
      </text>
    </comment>
    <comment ref="R56" authorId="0" shapeId="0" xr:uid="{00000000-0006-0000-0800-00001F030000}">
      <text>
        <r>
          <rPr>
            <sz val="8"/>
            <color indexed="81"/>
            <rFont val="Tahoma"/>
            <family val="2"/>
          </rPr>
          <t>For Multi Shade, 
the options are;
Standard
Over Roll
For Roman Shade, 
the options are;
Over Roll
For Triple Shade, 
the options are;
Standard</t>
        </r>
      </text>
    </comment>
    <comment ref="T56" authorId="0" shapeId="0" xr:uid="{00000000-0006-0000-0800-000020030000}">
      <text>
        <r>
          <rPr>
            <sz val="8"/>
            <color indexed="81"/>
            <rFont val="Tahoma"/>
            <family val="2"/>
          </rPr>
          <t>Please use this section 
to specify 
any Special Requirements
for the Line/Order.</t>
        </r>
      </text>
    </comment>
    <comment ref="D57" authorId="0" shapeId="0" xr:uid="{00000000-0006-0000-0800-000021030000}">
      <text>
        <r>
          <rPr>
            <sz val="8"/>
            <color indexed="81"/>
            <rFont val="Tahoma"/>
            <family val="2"/>
          </rPr>
          <t>The Products options are;
Multi Shade
Roman Shade
Triple Shade</t>
        </r>
      </text>
    </comment>
    <comment ref="E57" authorId="0" shapeId="0" xr:uid="{00000000-0006-0000-0800-000022030000}">
      <text>
        <r>
          <rPr>
            <sz val="8"/>
            <color indexed="81"/>
            <rFont val="Tahoma"/>
            <family val="2"/>
          </rPr>
          <t>The Finish Type is dependent 
on the Product Type option.
The Finish options are;
Multi Shade;
Standard
Blockout Standard
Blockout Woven
Jacquard Crush
Jacquard Weave
Semi-Blockout
Textured
Roman Shade;
Standard
Triple Shade;
Standard
Combination
Fire Retardant
Woven</t>
        </r>
      </text>
    </comment>
    <comment ref="F57" authorId="0" shapeId="0" xr:uid="{00000000-0006-0000-0800-000023030000}">
      <text>
        <r>
          <rPr>
            <sz val="8"/>
            <color indexed="81"/>
            <rFont val="Tahoma"/>
            <family val="2"/>
          </rPr>
          <t>The Colour can only be selected 
once the Product Type &amp; Finish has 
been entered.
Please refer to the Swatches.</t>
        </r>
      </text>
    </comment>
    <comment ref="G57" authorId="0" shapeId="0" xr:uid="{00000000-0006-0000-0800-000024030000}">
      <text>
        <r>
          <rPr>
            <sz val="8"/>
            <color indexed="81"/>
            <rFont val="Tahoma"/>
            <family val="2"/>
          </rPr>
          <t xml:space="preserve">The Minimum Width is 300mm.
For the Multi Shade 
Standard &amp; Textured Range
the Maximum Width is 2600mm. 
For all other Multi Shade, 
Roman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7" authorId="0" shapeId="0" xr:uid="{00000000-0006-0000-0800-000025030000}">
      <text>
        <r>
          <rPr>
            <sz val="8"/>
            <color indexed="81"/>
            <rFont val="Tahoma"/>
            <family val="2"/>
          </rPr>
          <t xml:space="preserve">The Minimum Height/Drop is 300mm.
For the Multi Shade, 
Roman Shade &amp; 
Triple Shade options 
the Maximum Drop is 3000mm. </t>
        </r>
      </text>
    </comment>
    <comment ref="I57" authorId="0" shapeId="0" xr:uid="{00000000-0006-0000-0800-000026030000}">
      <text>
        <r>
          <rPr>
            <sz val="8"/>
            <color indexed="81"/>
            <rFont val="Tahoma"/>
            <family val="2"/>
          </rPr>
          <t>The Window Type 
options are;
Standard
Side By Side</t>
        </r>
      </text>
    </comment>
    <comment ref="J57" authorId="0" shapeId="0" xr:uid="{00000000-0006-0000-0800-000027030000}">
      <text>
        <r>
          <rPr>
            <sz val="8"/>
            <color indexed="81"/>
            <rFont val="Tahoma"/>
            <family val="2"/>
          </rPr>
          <t>The Fitting options are;
Face Fit
Recess Fit</t>
        </r>
      </text>
    </comment>
    <comment ref="K57" authorId="0" shapeId="0" xr:uid="{00000000-0006-0000-0800-00002803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7" authorId="0" shapeId="0" xr:uid="{00000000-0006-0000-0800-000029030000}">
      <text>
        <r>
          <rPr>
            <sz val="8"/>
            <color indexed="81"/>
            <rFont val="Tahoma"/>
            <family val="2"/>
          </rPr>
          <t>The Head Box/Rail 
Colours are;
Default
Beige
Black
Dark Brown
Grey
Ivory
Light Brown
White</t>
        </r>
      </text>
    </comment>
    <comment ref="M57" authorId="0" shapeId="0" xr:uid="{00000000-0006-0000-0800-00002A030000}">
      <text>
        <r>
          <rPr>
            <sz val="8"/>
            <color indexed="81"/>
            <rFont val="Tahoma"/>
            <family val="2"/>
          </rPr>
          <t>The Bottom Rail 
Colours are dependent on the 
Product Type &amp; Finish selected;
For Multi Shade Jacquard Crush &amp; 
Jacquard Weave the options are 
Black or White only.
For all other options the 
Default Bottom Rail 
Colour will be matched to the 
Head Box Colours which are;
Beige
Black
Dark Brown
Grey
Ivory
Light Brown
White</t>
        </r>
      </text>
    </comment>
    <comment ref="N57" authorId="0" shapeId="0" xr:uid="{00000000-0006-0000-0800-00002B030000}">
      <text>
        <r>
          <rPr>
            <sz val="8"/>
            <color indexed="81"/>
            <rFont val="Tahoma"/>
            <family val="2"/>
          </rPr>
          <t>The Control 
options are;
Left
Right</t>
        </r>
      </text>
    </comment>
    <comment ref="O57" authorId="0" shapeId="0" xr:uid="{00000000-0006-0000-0800-00002C030000}">
      <text>
        <r>
          <rPr>
            <sz val="8"/>
            <color indexed="81"/>
            <rFont val="Tahoma"/>
            <family val="2"/>
          </rPr>
          <t>The Chain Length 
options are; 
Default
500mm
750mm
1000mm
1250mm
1500mm
2000mm</t>
        </r>
      </text>
    </comment>
    <comment ref="P57" authorId="0" shapeId="0" xr:uid="{00000000-0006-0000-0800-00002D030000}">
      <text>
        <r>
          <rPr>
            <sz val="8"/>
            <color indexed="81"/>
            <rFont val="Tahoma"/>
            <family val="2"/>
          </rPr>
          <t>The Chain Colour 
options are;
Default
Stainless Steel
If Default is selected 
then the Chain Colour 
will be matched to the 
Head Box Colour.</t>
        </r>
      </text>
    </comment>
    <comment ref="Q57" authorId="0" shapeId="0" xr:uid="{00000000-0006-0000-0800-00002E030000}">
      <text>
        <r>
          <rPr>
            <sz val="8"/>
            <color indexed="81"/>
            <rFont val="Tahoma"/>
            <family val="2"/>
          </rPr>
          <t>For Multi Shade, 
Roman Shade and
Triple Shade,  
the  Fabric Insert  
options are;
No
Yes</t>
        </r>
      </text>
    </comment>
    <comment ref="R57" authorId="0" shapeId="0" xr:uid="{00000000-0006-0000-0800-00002F030000}">
      <text>
        <r>
          <rPr>
            <sz val="8"/>
            <color indexed="81"/>
            <rFont val="Tahoma"/>
            <family val="2"/>
          </rPr>
          <t>For Multi Shade, 
the options are;
Standard
Over Roll
For Roman Shade, 
the options are;
Over Roll
For Triple Shade, 
the options are;
Standard</t>
        </r>
      </text>
    </comment>
    <comment ref="T57" authorId="0" shapeId="0" xr:uid="{00000000-0006-0000-0800-000030030000}">
      <text>
        <r>
          <rPr>
            <sz val="8"/>
            <color indexed="81"/>
            <rFont val="Tahoma"/>
            <family val="2"/>
          </rPr>
          <t>Please use this section 
to specify 
any Special Requirements
for the Line/Order.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C8" authorId="0" shapeId="0" xr:uid="{BFC9B5B5-6749-4388-9860-B31CB5568C06}">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8" authorId="0" shapeId="0" xr:uid="{71ADBCA0-3E94-4AC7-86F3-8AB5C2856E3A}">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8" authorId="0" shapeId="0" xr:uid="{00000000-0006-0000-0900-000004000000}">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8" authorId="0" shapeId="0" xr:uid="{00000000-0006-0000-0900-000005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8" authorId="0" shapeId="0" xr:uid="{918000AF-7CD2-4616-ABB5-E528849AA5B5}">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8" authorId="0" shapeId="0" xr:uid="{00000000-0006-0000-0900-000007000000}">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8" authorId="0" shapeId="0" xr:uid="{00000000-0006-0000-0900-000008000000}">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8" authorId="0" shapeId="0" xr:uid="{00000000-0006-0000-0900-000009000000}">
      <text>
        <r>
          <rPr>
            <sz val="8"/>
            <color indexed="81"/>
            <rFont val="Tahoma"/>
            <family val="2"/>
          </rPr>
          <t>This calculated option is dependent on the 
Material and Frame type.
If a T Post is used the Panels could still be 
oversized/large depending 
on the configuration.</t>
        </r>
      </text>
    </comment>
    <comment ref="L8" authorId="0" shapeId="0" xr:uid="{BCB0ECDE-1076-4D46-A7AA-C14E82C6A7FC}">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8" authorId="0" shapeId="0" xr:uid="{00000000-0006-0000-0900-00000B000000}">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8" authorId="0" shapeId="0" xr:uid="{C66E677D-EDD8-4206-9760-CA95B555E325}">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8" authorId="0" shapeId="0" xr:uid="{D8D61DC7-DB5A-40A4-9B9B-62B876DB2677}">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8" authorId="0" shapeId="0" xr:uid="{B5AC7B95-0614-44FD-B2ED-66D7E4F552BA}">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8" authorId="0" shapeId="0" xr:uid="{00000000-0006-0000-0900-00000E000000}">
      <text>
        <r>
          <rPr>
            <sz val="8"/>
            <color indexed="81"/>
            <rFont val="Tahoma"/>
            <family val="2"/>
          </rPr>
          <t>Frame Type is dependent on
 Mounting Method.</t>
        </r>
      </text>
    </comment>
    <comment ref="W8" authorId="0" shapeId="0" xr:uid="{00000000-0006-0000-0900-00000F000000}">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8" authorId="0" shapeId="0" xr:uid="{00000000-0006-0000-0900-000010000000}">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8" authorId="0" shapeId="0" xr:uid="{00000000-0006-0000-0900-000011000000}">
      <text>
        <r>
          <rPr>
            <sz val="8"/>
            <color indexed="81"/>
            <rFont val="Tahoma"/>
            <family val="2"/>
          </rPr>
          <t>Please Note: 
If Closed option is chosen then the blades 
can be damaged if they are left open 
when Sliding the Panel.
Open is not an option for 3 Tracks.</t>
        </r>
      </text>
    </comment>
    <comment ref="Z8" authorId="0" shapeId="0" xr:uid="{00000000-0006-0000-0900-000012000000}">
      <text>
        <r>
          <rPr>
            <sz val="8"/>
            <color indexed="81"/>
            <rFont val="Tahoma"/>
            <family val="2"/>
          </rPr>
          <t>If any T Posts are required then the measurements 
must be supplied under the next columns.
Measurements should be made from the left.</t>
        </r>
      </text>
    </comment>
    <comment ref="AD8" authorId="0" shapeId="0" xr:uid="{C4F0DA72-BA4D-4BEC-8A3A-B6BBED388836}">
      <text>
        <r>
          <rPr>
            <sz val="8"/>
            <color indexed="81"/>
            <rFont val="Tahoma"/>
            <family val="2"/>
          </rPr>
          <t>This option is dependent on the 
Material.
For Fauxwood Eco Air the options are;
Standard
For Timber Eco
the options are;
50mm Beaded (Default)
50mm Flat
60mm Beaded
60mm Flat</t>
        </r>
      </text>
    </comment>
    <comment ref="AV8" authorId="0" shapeId="0" xr:uid="{00000000-0006-0000-0900-000014000000}">
      <text>
        <r>
          <rPr>
            <sz val="8"/>
            <color indexed="81"/>
            <rFont val="Tahoma"/>
            <family val="2"/>
          </rPr>
          <t>The Hinge Quantity is 
calculated automatically.</t>
        </r>
      </text>
    </comment>
    <comment ref="BJ8" authorId="0" shapeId="0" xr:uid="{00000000-0006-0000-0900-000015000000}">
      <text>
        <r>
          <rPr>
            <sz val="8"/>
            <color indexed="81"/>
            <rFont val="Tahoma"/>
            <family val="2"/>
          </rPr>
          <t>Please Note: 
If Closed option is chosen then the blades can be damaged if they are left open 
when sliding the Panel.</t>
        </r>
      </text>
    </comment>
    <comment ref="C9" authorId="0" shapeId="0" xr:uid="{746A4A4A-65B2-4411-A519-548380C08776}">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9" authorId="0" shapeId="0" xr:uid="{686FE214-FC97-4198-BDCB-42697A3B638C}">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9" authorId="0" shapeId="0" xr:uid="{8C2B9914-200C-4A20-8546-D8EBE70177E1}">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9" authorId="0" shapeId="0" xr:uid="{54874027-8A1D-45E5-9780-9EA22B7932EF}">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9" authorId="0" shapeId="0" xr:uid="{F4418788-4F76-47B7-AE42-FC89E0E20FFF}">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9" authorId="0" shapeId="0" xr:uid="{BA5D1B50-003D-4895-9A99-41E7BD93F436}">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9" authorId="0" shapeId="0" xr:uid="{77BE5687-4A13-4117-A13A-7EC8D4E45CED}">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9" authorId="0" shapeId="0" xr:uid="{0CD5B6BC-495F-43EF-BA6A-5E25F8E75276}">
      <text>
        <r>
          <rPr>
            <sz val="8"/>
            <color indexed="81"/>
            <rFont val="Tahoma"/>
            <family val="2"/>
          </rPr>
          <t>This calculated option is dependent on the 
Material and Frame type.
If a T Post is used the Panels could still be 
oversized/large depending 
on the configuration.</t>
        </r>
      </text>
    </comment>
    <comment ref="L9" authorId="0" shapeId="0" xr:uid="{90AFB01E-AF06-42D4-8351-72B1C4A8635A}">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9" authorId="0" shapeId="0" xr:uid="{8B945EAB-2B86-4378-9261-34EB4D12FB39}">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9" authorId="0" shapeId="0" xr:uid="{F12D311F-1420-4D0F-9BBF-8338248F88F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9" authorId="0" shapeId="0" xr:uid="{C8C8EAA2-3AA0-4134-B7A3-EBB877D2ED04}">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9" authorId="0" shapeId="0" xr:uid="{BA824CD6-AE54-4482-99A6-349B33B7841F}">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9" authorId="0" shapeId="0" xr:uid="{F65262FB-A877-4B11-8CAD-6C85AD250D0C}">
      <text>
        <r>
          <rPr>
            <sz val="8"/>
            <color indexed="81"/>
            <rFont val="Tahoma"/>
            <family val="2"/>
          </rPr>
          <t>Frame Type is dependent on
 Mounting Method.</t>
        </r>
      </text>
    </comment>
    <comment ref="W9" authorId="0" shapeId="0" xr:uid="{3471FFE6-103D-49A2-8C01-1C0366A4C7EA}">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9" authorId="0" shapeId="0" xr:uid="{77ACEA10-BE69-457C-BD3E-CC519F635592}">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9" authorId="0" shapeId="0" xr:uid="{9614F327-367F-4F9B-B93B-94EA3C620100}">
      <text>
        <r>
          <rPr>
            <sz val="8"/>
            <color indexed="81"/>
            <rFont val="Tahoma"/>
            <family val="2"/>
          </rPr>
          <t>Please Note: 
If Closed option is chosen then the blades 
can be damaged if they are left open 
when Sliding the Panel.
Open is not an option for 3 Tracks.</t>
        </r>
      </text>
    </comment>
    <comment ref="Z9" authorId="0" shapeId="0" xr:uid="{F5FB5605-13FB-4BDA-9972-3E94A01A1B08}">
      <text>
        <r>
          <rPr>
            <sz val="8"/>
            <color indexed="81"/>
            <rFont val="Tahoma"/>
            <family val="2"/>
          </rPr>
          <t>If any T Posts are required then the measurements 
must be supplied under the next columns.
Measurements should be made from the left.</t>
        </r>
      </text>
    </comment>
    <comment ref="AD9" authorId="0" shapeId="0" xr:uid="{5AC8954D-0053-41E5-A3B8-EEAA2158310D}">
      <text>
        <r>
          <rPr>
            <sz val="8"/>
            <color indexed="81"/>
            <rFont val="Tahoma"/>
            <family val="2"/>
          </rPr>
          <t>This option is dependent on the 
Material.
For Fauxwood Eco Air the options are;
Standard
For Timber Eco
the options are;
50mm Beaded (Default)
50mm Flat
60mm Beaded
60mm Flat</t>
        </r>
      </text>
    </comment>
    <comment ref="C10" authorId="0" shapeId="0" xr:uid="{46A8BC5A-1F83-465C-94B4-1AAB305FC921}">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10" authorId="0" shapeId="0" xr:uid="{471F3608-BB31-483B-AE50-F305B765B235}">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10" authorId="0" shapeId="0" xr:uid="{8B435229-11F0-4AAD-9B91-A680793C4984}">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10" authorId="0" shapeId="0" xr:uid="{0BB269CE-1719-47DF-9E13-FFBB693098C8}">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0" authorId="0" shapeId="0" xr:uid="{D30605B2-A842-4EB9-BB15-AB159F2E6DE4}">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10" authorId="0" shapeId="0" xr:uid="{20A421EE-A7B3-473E-9DB8-433C8EAE13E8}">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10" authorId="0" shapeId="0" xr:uid="{CE140D57-7E12-4605-96E3-1FF52A4CF8D3}">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10" authorId="0" shapeId="0" xr:uid="{27AE140E-8D0B-4C99-B835-AE0176690F56}">
      <text>
        <r>
          <rPr>
            <sz val="8"/>
            <color indexed="81"/>
            <rFont val="Tahoma"/>
            <family val="2"/>
          </rPr>
          <t>This calculated option is dependent on the 
Material and Frame type.
If a T Post is used the Panels could still be 
oversized/large depending 
on the configuration.</t>
        </r>
      </text>
    </comment>
    <comment ref="L10" authorId="0" shapeId="0" xr:uid="{4416FC8A-5776-4B3E-8C49-30DD6A57A131}">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10" authorId="0" shapeId="0" xr:uid="{3A110B5A-78F1-4C62-811C-0FA7F5478433}">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10" authorId="0" shapeId="0" xr:uid="{FC93EA68-750E-49EA-B130-40DC94DC763C}">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10" authorId="0" shapeId="0" xr:uid="{C2590B82-B723-4E59-81AE-4D99EE23AD3B}">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10" authorId="0" shapeId="0" xr:uid="{140A6169-19AA-4374-9BFC-A6BD29CACDCA}">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10" authorId="0" shapeId="0" xr:uid="{7258EC9F-152F-422F-AAF3-531F892BC44A}">
      <text>
        <r>
          <rPr>
            <sz val="8"/>
            <color indexed="81"/>
            <rFont val="Tahoma"/>
            <family val="2"/>
          </rPr>
          <t>Frame Type is dependent on
 Mounting Method.</t>
        </r>
      </text>
    </comment>
    <comment ref="W10" authorId="0" shapeId="0" xr:uid="{43C9ED9F-7F8F-4007-BB05-B4F898A5CCBE}">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10" authorId="0" shapeId="0" xr:uid="{C5741E4A-165E-4376-8D95-430F8BC29B0E}">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10" authorId="0" shapeId="0" xr:uid="{1590B7E0-92D5-4BEE-84EF-79F798E152C7}">
      <text>
        <r>
          <rPr>
            <sz val="8"/>
            <color indexed="81"/>
            <rFont val="Tahoma"/>
            <family val="2"/>
          </rPr>
          <t>Please Note: 
If Closed option is chosen then the blades 
can be damaged if they are left open 
when Sliding the Panel.
Open is not an option for 3 Tracks.</t>
        </r>
      </text>
    </comment>
    <comment ref="Z10" authorId="0" shapeId="0" xr:uid="{DC4F9414-C0B2-43BB-955C-D27B2F9870E3}">
      <text>
        <r>
          <rPr>
            <sz val="8"/>
            <color indexed="81"/>
            <rFont val="Tahoma"/>
            <family val="2"/>
          </rPr>
          <t>If any T Posts are required then the measurements 
must be supplied under the next columns.
Measurements should be made from the left.</t>
        </r>
      </text>
    </comment>
    <comment ref="AD10" authorId="0" shapeId="0" xr:uid="{83F67964-A28B-409C-9093-0C46AFC47F98}">
      <text>
        <r>
          <rPr>
            <sz val="8"/>
            <color indexed="81"/>
            <rFont val="Tahoma"/>
            <family val="2"/>
          </rPr>
          <t>This option is dependent on the 
Material.
For Fauxwood Eco Air the options are;
Standard
For Timber Eco
the options are;
50mm Beaded (Default)
50mm Flat
60mm Beaded
60mm Flat</t>
        </r>
      </text>
    </comment>
    <comment ref="C11" authorId="0" shapeId="0" xr:uid="{679FA782-C48D-4365-8641-89C5A600257F}">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11" authorId="0" shapeId="0" xr:uid="{57644EFF-7C1F-4E6F-86CA-8CE4B0D4E3EB}">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11" authorId="0" shapeId="0" xr:uid="{0E7B86FE-C09F-4671-B2C3-F432375AAFEC}">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11" authorId="0" shapeId="0" xr:uid="{63A28B44-0F2B-4E48-B81D-EC5704F050E4}">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1" authorId="0" shapeId="0" xr:uid="{CA1B4E9D-EFBC-4FFD-BEC0-DF48CF74D50E}">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11" authorId="0" shapeId="0" xr:uid="{2334554C-5D9D-47EC-A8B0-58CF5C16A2A7}">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11" authorId="0" shapeId="0" xr:uid="{91A1FF5A-957B-4D7B-A30D-8531DCED003B}">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11" authorId="0" shapeId="0" xr:uid="{94D63416-9D26-499C-B770-8B67367988E5}">
      <text>
        <r>
          <rPr>
            <sz val="8"/>
            <color indexed="81"/>
            <rFont val="Tahoma"/>
            <family val="2"/>
          </rPr>
          <t>This calculated option is dependent on the 
Material and Frame type.
If a T Post is used the Panels could still be 
oversized/large depending 
on the configuration.</t>
        </r>
      </text>
    </comment>
    <comment ref="L11" authorId="0" shapeId="0" xr:uid="{92DF10C3-61D1-42AF-8080-9AA270E395A2}">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11" authorId="0" shapeId="0" xr:uid="{5B072CE5-94F4-4CB4-9FAE-9BED131DE819}">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11" authorId="0" shapeId="0" xr:uid="{E5EB54EE-B433-44FE-8A47-CB0B883DE11A}">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11" authorId="0" shapeId="0" xr:uid="{0233089B-CD5B-461B-B3BB-73798BF13967}">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11" authorId="0" shapeId="0" xr:uid="{B4D74BDF-CF75-45FB-B431-C50E9C56F387}">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11" authorId="0" shapeId="0" xr:uid="{2900D2BC-2875-4DA0-A473-9A2A2FE10AD2}">
      <text>
        <r>
          <rPr>
            <sz val="8"/>
            <color indexed="81"/>
            <rFont val="Tahoma"/>
            <family val="2"/>
          </rPr>
          <t>Frame Type is dependent on
 Mounting Method.</t>
        </r>
      </text>
    </comment>
    <comment ref="W11" authorId="0" shapeId="0" xr:uid="{E67BB8BB-4E48-4D41-A0C1-D6D1FAB0690D}">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11" authorId="0" shapeId="0" xr:uid="{326974DB-FEA9-4202-B06F-F469C92005E8}">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11" authorId="0" shapeId="0" xr:uid="{71292A9A-3C51-49A6-9F96-5C4A99D9539D}">
      <text>
        <r>
          <rPr>
            <sz val="8"/>
            <color indexed="81"/>
            <rFont val="Tahoma"/>
            <family val="2"/>
          </rPr>
          <t>Please Note: 
If Closed option is chosen then the blades 
can be damaged if they are left open 
when Sliding the Panel.
Open is not an option for 3 Tracks.</t>
        </r>
      </text>
    </comment>
    <comment ref="Z11" authorId="0" shapeId="0" xr:uid="{951B1CC5-6180-48E7-96F9-2EACBDC72B8A}">
      <text>
        <r>
          <rPr>
            <sz val="8"/>
            <color indexed="81"/>
            <rFont val="Tahoma"/>
            <family val="2"/>
          </rPr>
          <t>If any T Posts are required then the measurements 
must be supplied under the next columns.
Measurements should be made from the left.</t>
        </r>
      </text>
    </comment>
    <comment ref="AD11" authorId="0" shapeId="0" xr:uid="{5B5E86C6-670A-41D3-8FDF-7438FBEFB563}">
      <text>
        <r>
          <rPr>
            <sz val="8"/>
            <color indexed="81"/>
            <rFont val="Tahoma"/>
            <family val="2"/>
          </rPr>
          <t>This option is dependent on the 
Material.
For Fauxwood Eco Air the options are;
Standard
For Timber Eco
the options are;
50mm Beaded (Default)
50mm Flat
60mm Beaded
60mm Flat</t>
        </r>
      </text>
    </comment>
    <comment ref="C12" authorId="0" shapeId="0" xr:uid="{DA0DAE5C-0B19-49F0-9B31-D60FF6BD331A}">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12" authorId="0" shapeId="0" xr:uid="{B2723067-CBEE-4473-8333-9A9EA1AE6834}">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12" authorId="0" shapeId="0" xr:uid="{D7231D76-30CA-4B48-9FEC-8DBD6FD9669B}">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12" authorId="0" shapeId="0" xr:uid="{BC135096-4D8E-43EE-A0DE-DBF125EF8A51}">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2" authorId="0" shapeId="0" xr:uid="{95E5B11D-1F1E-48B5-9993-FCFEE6817942}">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12" authorId="0" shapeId="0" xr:uid="{164876BA-566D-4909-87FB-FBCA93EECA4A}">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12" authorId="0" shapeId="0" xr:uid="{8BF54609-A0D1-4B5C-854F-5DA24FB37406}">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12" authorId="0" shapeId="0" xr:uid="{D095DB57-C434-4AF2-8884-A3ADCEBAA69C}">
      <text>
        <r>
          <rPr>
            <sz val="8"/>
            <color indexed="81"/>
            <rFont val="Tahoma"/>
            <family val="2"/>
          </rPr>
          <t>This calculated option is dependent on the 
Material and Frame type.
If a T Post is used the Panels could still be 
oversized/large depending 
on the configuration.</t>
        </r>
      </text>
    </comment>
    <comment ref="L12" authorId="0" shapeId="0" xr:uid="{79C6CE26-F603-46A4-A48C-D742AFF4141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12" authorId="0" shapeId="0" xr:uid="{BDC10327-82AA-42B1-A82D-9863071FDCD7}">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12" authorId="0" shapeId="0" xr:uid="{85D59C7B-1487-4436-8726-0E0BA918826C}">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12" authorId="0" shapeId="0" xr:uid="{825CF932-6317-4A67-A45F-E57485EEB9EE}">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12" authorId="0" shapeId="0" xr:uid="{FE85A196-AA9D-4ED5-99C4-5E9E1B609D37}">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12" authorId="0" shapeId="0" xr:uid="{88880FAF-CE8B-4114-B00A-2C64BE270572}">
      <text>
        <r>
          <rPr>
            <sz val="8"/>
            <color indexed="81"/>
            <rFont val="Tahoma"/>
            <family val="2"/>
          </rPr>
          <t>Frame Type is dependent on
 Mounting Method.</t>
        </r>
      </text>
    </comment>
    <comment ref="W12" authorId="0" shapeId="0" xr:uid="{01E55621-FCE6-41D2-9B9B-3A32AE2D6DC6}">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12" authorId="0" shapeId="0" xr:uid="{0089580F-D712-4937-98CF-F28C2469FF48}">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12" authorId="0" shapeId="0" xr:uid="{7F5DC7AD-D856-4302-AD85-E83BCBB21EDA}">
      <text>
        <r>
          <rPr>
            <sz val="8"/>
            <color indexed="81"/>
            <rFont val="Tahoma"/>
            <family val="2"/>
          </rPr>
          <t>Please Note: 
If Closed option is chosen then the blades 
can be damaged if they are left open 
when Sliding the Panel.
Open is not an option for 3 Tracks.</t>
        </r>
      </text>
    </comment>
    <comment ref="Z12" authorId="0" shapeId="0" xr:uid="{37FD599E-C007-4961-9C2B-89A317A46340}">
      <text>
        <r>
          <rPr>
            <sz val="8"/>
            <color indexed="81"/>
            <rFont val="Tahoma"/>
            <family val="2"/>
          </rPr>
          <t>If any T Posts are required then the measurements 
must be supplied under the next columns.
Measurements should be made from the left.</t>
        </r>
      </text>
    </comment>
    <comment ref="AD12" authorId="0" shapeId="0" xr:uid="{4901C5AF-6977-48AA-8A7B-A24E9AC58422}">
      <text>
        <r>
          <rPr>
            <sz val="8"/>
            <color indexed="81"/>
            <rFont val="Tahoma"/>
            <family val="2"/>
          </rPr>
          <t>This option is dependent on the 
Material.
For Fauxwood Eco Air the options are;
Standard
For Timber Eco
the options are;
50mm Beaded (Default)
50mm Flat
60mm Beaded
60mm Flat</t>
        </r>
      </text>
    </comment>
    <comment ref="C13" authorId="0" shapeId="0" xr:uid="{879C7C7D-E23F-475A-AE91-35DBE273ED6A}">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13" authorId="0" shapeId="0" xr:uid="{B567686D-3C45-4396-957D-F7A041D80F1E}">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13" authorId="0" shapeId="0" xr:uid="{B1F06C7E-DF44-4253-B872-B7CACCFBD218}">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13" authorId="0" shapeId="0" xr:uid="{8BA3620C-992A-4583-8F7E-5331BF8D876F}">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3" authorId="0" shapeId="0" xr:uid="{746A9AF2-3E9E-44DD-B3A3-7D6552120A95}">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13" authorId="0" shapeId="0" xr:uid="{50847D23-4D5C-4399-BC3C-028F68A3E9D4}">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13" authorId="0" shapeId="0" xr:uid="{725FAF45-BB45-4110-9F10-36C78C82C789}">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13" authorId="0" shapeId="0" xr:uid="{92AD29DF-FC97-42BD-A83D-E8C770F1C362}">
      <text>
        <r>
          <rPr>
            <sz val="8"/>
            <color indexed="81"/>
            <rFont val="Tahoma"/>
            <family val="2"/>
          </rPr>
          <t>This calculated option is dependent on the 
Material and Frame type.
If a T Post is used the Panels could still be 
oversized/large depending 
on the configuration.</t>
        </r>
      </text>
    </comment>
    <comment ref="L13" authorId="0" shapeId="0" xr:uid="{7CA2B0B9-206C-4760-B222-04AAEC80C2F3}">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13" authorId="0" shapeId="0" xr:uid="{C3FC1DF2-ECC3-49C6-993F-4448F3FE49EE}">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13" authorId="0" shapeId="0" xr:uid="{B7C60BB7-8E4B-49CF-9078-C6FF0323A146}">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13" authorId="0" shapeId="0" xr:uid="{DF6C755B-EDC6-403A-8773-BE860829806A}">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13" authorId="0" shapeId="0" xr:uid="{EAD0CDB4-70E7-4064-B78A-8E21E22FB147}">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13" authorId="0" shapeId="0" xr:uid="{E10F38DA-616F-47E3-AB67-04FAB0D3EB5B}">
      <text>
        <r>
          <rPr>
            <sz val="8"/>
            <color indexed="81"/>
            <rFont val="Tahoma"/>
            <family val="2"/>
          </rPr>
          <t>Frame Type is dependent on
 Mounting Method.</t>
        </r>
      </text>
    </comment>
    <comment ref="W13" authorId="0" shapeId="0" xr:uid="{BB6AD40D-2198-404D-BEDB-60EC9009ED57}">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13" authorId="0" shapeId="0" xr:uid="{E44D28DD-8CFA-4D81-8918-B4369F3746D7}">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13" authorId="0" shapeId="0" xr:uid="{46948C3B-F7EA-41E8-9AA1-D2C934BC5C6C}">
      <text>
        <r>
          <rPr>
            <sz val="8"/>
            <color indexed="81"/>
            <rFont val="Tahoma"/>
            <family val="2"/>
          </rPr>
          <t>Please Note: 
If Closed option is chosen then the blades 
can be damaged if they are left open 
when Sliding the Panel.
Open is not an option for 3 Tracks.</t>
        </r>
      </text>
    </comment>
    <comment ref="Z13" authorId="0" shapeId="0" xr:uid="{D7D636B0-8261-42A7-8E77-49077D591A06}">
      <text>
        <r>
          <rPr>
            <sz val="8"/>
            <color indexed="81"/>
            <rFont val="Tahoma"/>
            <family val="2"/>
          </rPr>
          <t>If any T Posts are required then the measurements 
must be supplied under the next columns.
Measurements should be made from the left.</t>
        </r>
      </text>
    </comment>
    <comment ref="AD13" authorId="0" shapeId="0" xr:uid="{2A1F69B3-1A4F-4066-B0B6-DBE399D79B2E}">
      <text>
        <r>
          <rPr>
            <sz val="8"/>
            <color indexed="81"/>
            <rFont val="Tahoma"/>
            <family val="2"/>
          </rPr>
          <t>This option is dependent on the 
Material.
For Fauxwood Eco Air the options are;
Standard
For Timber Eco
the options are;
50mm Beaded (Default)
50mm Flat
60mm Beaded
60mm Flat</t>
        </r>
      </text>
    </comment>
    <comment ref="C14" authorId="0" shapeId="0" xr:uid="{B4AB7DDD-B834-403D-941A-D1CB733468A1}">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14" authorId="0" shapeId="0" xr:uid="{A0775308-83FD-4C89-B302-E7AF532E8F95}">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14" authorId="0" shapeId="0" xr:uid="{25065A02-3966-4F2A-A5EA-C95C9365188B}">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14" authorId="0" shapeId="0" xr:uid="{A64AACF2-A29E-40C6-B2AD-B0F84104EB9F}">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4" authorId="0" shapeId="0" xr:uid="{070DACF7-64AB-4392-A0EA-09E0BC3B4AFF}">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14" authorId="0" shapeId="0" xr:uid="{573F3E36-25AF-4FCB-B0A1-EE33A401FFB1}">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14" authorId="0" shapeId="0" xr:uid="{958A8E45-0EDF-4CFA-839C-E38E855EB393}">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14" authorId="0" shapeId="0" xr:uid="{F86E82BE-54E8-4A26-8C35-3916A5FB23CB}">
      <text>
        <r>
          <rPr>
            <sz val="8"/>
            <color indexed="81"/>
            <rFont val="Tahoma"/>
            <family val="2"/>
          </rPr>
          <t>This calculated option is dependent on the 
Material and Frame type.
If a T Post is used the Panels could still be 
oversized/large depending 
on the configuration.</t>
        </r>
      </text>
    </comment>
    <comment ref="L14" authorId="0" shapeId="0" xr:uid="{AC5D0A0C-456B-48A0-9202-A0D8C1329085}">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14" authorId="0" shapeId="0" xr:uid="{F48BAB40-2C76-4966-A2B4-2495ACF2DD97}">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14" authorId="0" shapeId="0" xr:uid="{65E1F3E9-897E-4452-B920-A68206C6E73F}">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14" authorId="0" shapeId="0" xr:uid="{BFEE7AEA-F764-407A-88E3-48E7AE65CF0A}">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14" authorId="0" shapeId="0" xr:uid="{F3371DD8-0477-4CCB-8A10-B40F1682492B}">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14" authorId="0" shapeId="0" xr:uid="{FCAF17D0-4A65-4601-B6C4-3C59093C2BCF}">
      <text>
        <r>
          <rPr>
            <sz val="8"/>
            <color indexed="81"/>
            <rFont val="Tahoma"/>
            <family val="2"/>
          </rPr>
          <t>Frame Type is dependent on
 Mounting Method.</t>
        </r>
      </text>
    </comment>
    <comment ref="W14" authorId="0" shapeId="0" xr:uid="{8AFFF16E-9B19-44EF-B418-E06B34223118}">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14" authorId="0" shapeId="0" xr:uid="{367ACD6B-BAAA-4E98-B012-4AF0597CAD87}">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14" authorId="0" shapeId="0" xr:uid="{B8C68FCE-47B9-4A76-9B19-2111A777BDDB}">
      <text>
        <r>
          <rPr>
            <sz val="8"/>
            <color indexed="81"/>
            <rFont val="Tahoma"/>
            <family val="2"/>
          </rPr>
          <t>Please Note: 
If Closed option is chosen then the blades 
can be damaged if they are left open 
when Sliding the Panel.
Open is not an option for 3 Tracks.</t>
        </r>
      </text>
    </comment>
    <comment ref="Z14" authorId="0" shapeId="0" xr:uid="{16F311CB-2999-4BCB-9C9A-E4C387D66ED7}">
      <text>
        <r>
          <rPr>
            <sz val="8"/>
            <color indexed="81"/>
            <rFont val="Tahoma"/>
            <family val="2"/>
          </rPr>
          <t>If any T Posts are required then the measurements 
must be supplied under the next columns.
Measurements should be made from the left.</t>
        </r>
      </text>
    </comment>
    <comment ref="AD14" authorId="0" shapeId="0" xr:uid="{5E1C92B8-77AB-4675-8C8A-786F08D3D207}">
      <text>
        <r>
          <rPr>
            <sz val="8"/>
            <color indexed="81"/>
            <rFont val="Tahoma"/>
            <family val="2"/>
          </rPr>
          <t>This option is dependent on the 
Material.
For Fauxwood Eco Air the options are;
Standard
For Timber Eco
the options are;
50mm Beaded (Default)
50mm Flat
60mm Beaded
60mm Flat</t>
        </r>
      </text>
    </comment>
    <comment ref="C15" authorId="0" shapeId="0" xr:uid="{14B17C8B-8F3A-48BE-9CCD-50F074DC8FC0}">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15" authorId="0" shapeId="0" xr:uid="{91D35B0A-3FDB-449C-8171-2B3915C3B0A1}">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15" authorId="0" shapeId="0" xr:uid="{86266FDB-7A65-487F-B0EB-00A7F72F84B2}">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15" authorId="0" shapeId="0" xr:uid="{168AB373-C180-4B68-AC10-EC0F6514531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5" authorId="0" shapeId="0" xr:uid="{36EFBC85-E6FE-459D-A55A-65A4CF5ACA67}">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15" authorId="0" shapeId="0" xr:uid="{A5CA9944-EA51-4EE2-91C0-5C2CCE00791F}">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15" authorId="0" shapeId="0" xr:uid="{D6DCC3C3-4AC0-42C7-8E4B-422BB44AB2C7}">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15" authorId="0" shapeId="0" xr:uid="{6AA69071-ABA8-4A71-9C87-2692D566C8C5}">
      <text>
        <r>
          <rPr>
            <sz val="8"/>
            <color indexed="81"/>
            <rFont val="Tahoma"/>
            <family val="2"/>
          </rPr>
          <t>This calculated option is dependent on the 
Material and Frame type.
If a T Post is used the Panels could still be 
oversized/large depending 
on the configuration.</t>
        </r>
      </text>
    </comment>
    <comment ref="L15" authorId="0" shapeId="0" xr:uid="{61A61941-17F7-42DB-A798-2ACDD405325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15" authorId="0" shapeId="0" xr:uid="{DECB7F0F-45D6-4400-9B05-F2660EABEC60}">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15" authorId="0" shapeId="0" xr:uid="{4D4D6924-D89D-46ED-89C9-5E5C97EC7AA1}">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15" authorId="0" shapeId="0" xr:uid="{30230B9D-ADF8-49C3-9CE0-16A51B0ED74A}">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15" authorId="0" shapeId="0" xr:uid="{C53938A6-6FAD-4B74-A032-C67AB7648D8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15" authorId="0" shapeId="0" xr:uid="{A55FCC9D-8390-4D9E-8AE1-97D9652D6C7E}">
      <text>
        <r>
          <rPr>
            <sz val="8"/>
            <color indexed="81"/>
            <rFont val="Tahoma"/>
            <family val="2"/>
          </rPr>
          <t>Frame Type is dependent on
 Mounting Method.</t>
        </r>
      </text>
    </comment>
    <comment ref="W15" authorId="0" shapeId="0" xr:uid="{05EE83F5-F045-4278-B204-BB7CE89BB076}">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15" authorId="0" shapeId="0" xr:uid="{EE6FEDFB-CA32-4890-8748-78691E04DD06}">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15" authorId="0" shapeId="0" xr:uid="{E264402A-58A5-43AD-9571-A1CEA7F8DDA4}">
      <text>
        <r>
          <rPr>
            <sz val="8"/>
            <color indexed="81"/>
            <rFont val="Tahoma"/>
            <family val="2"/>
          </rPr>
          <t>Please Note: 
If Closed option is chosen then the blades 
can be damaged if they are left open 
when Sliding the Panel.
Open is not an option for 3 Tracks.</t>
        </r>
      </text>
    </comment>
    <comment ref="Z15" authorId="0" shapeId="0" xr:uid="{DCABCF82-36E5-43E3-94A9-F182BF88EE3D}">
      <text>
        <r>
          <rPr>
            <sz val="8"/>
            <color indexed="81"/>
            <rFont val="Tahoma"/>
            <family val="2"/>
          </rPr>
          <t>If any T Posts are required then the measurements 
must be supplied under the next columns.
Measurements should be made from the left.</t>
        </r>
      </text>
    </comment>
    <comment ref="AD15" authorId="0" shapeId="0" xr:uid="{A8F9569F-59AB-4254-B057-647CD4EB576F}">
      <text>
        <r>
          <rPr>
            <sz val="8"/>
            <color indexed="81"/>
            <rFont val="Tahoma"/>
            <family val="2"/>
          </rPr>
          <t>This option is dependent on the 
Material.
For Fauxwood Eco Air the options are;
Standard
For Timber Eco
the options are;
50mm Beaded (Default)
50mm Flat
60mm Beaded
60mm Flat</t>
        </r>
      </text>
    </comment>
    <comment ref="C16" authorId="0" shapeId="0" xr:uid="{7B067FD6-6CB1-47D8-B89F-2834EBA4F1C3}">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16" authorId="0" shapeId="0" xr:uid="{45F71832-05BD-4CE0-83DD-E6E0825AB321}">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16" authorId="0" shapeId="0" xr:uid="{A187F8EA-B664-457D-B9F1-6454AEA59DBA}">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16" authorId="0" shapeId="0" xr:uid="{798376C5-B139-48EF-BF02-CDF492531918}">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6" authorId="0" shapeId="0" xr:uid="{9EA1CDF9-FE59-469A-811D-DE0B9AD674D8}">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16" authorId="0" shapeId="0" xr:uid="{625938BA-BEE5-4BDC-ADB3-828C3857479E}">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16" authorId="0" shapeId="0" xr:uid="{22006F5C-3632-4330-9D6B-B10F6F11AF89}">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16" authorId="0" shapeId="0" xr:uid="{4A541E40-58D5-4FEB-BB99-63185A9CD0B3}">
      <text>
        <r>
          <rPr>
            <sz val="8"/>
            <color indexed="81"/>
            <rFont val="Tahoma"/>
            <family val="2"/>
          </rPr>
          <t>This calculated option is dependent on the 
Material and Frame type.
If a T Post is used the Panels could still be 
oversized/large depending 
on the configuration.</t>
        </r>
      </text>
    </comment>
    <comment ref="L16" authorId="0" shapeId="0" xr:uid="{39EE0B06-DE2C-4D49-A955-F988AE23F0E7}">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16" authorId="0" shapeId="0" xr:uid="{8AA7EEB4-A219-4455-8F69-67A5B240DBF7}">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16" authorId="0" shapeId="0" xr:uid="{F55C93CE-85E5-4068-9237-1B8BFFFE7329}">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16" authorId="0" shapeId="0" xr:uid="{D95CD54B-DC7E-4B7A-B5A9-A2BA87A76A7A}">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16" authorId="0" shapeId="0" xr:uid="{6103F564-76DA-45AD-A96C-68B2C36E0518}">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16" authorId="0" shapeId="0" xr:uid="{93985E32-E030-4956-8A74-B915031078F4}">
      <text>
        <r>
          <rPr>
            <sz val="8"/>
            <color indexed="81"/>
            <rFont val="Tahoma"/>
            <family val="2"/>
          </rPr>
          <t>Frame Type is dependent on
 Mounting Method.</t>
        </r>
      </text>
    </comment>
    <comment ref="W16" authorId="0" shapeId="0" xr:uid="{8D9D269E-9A21-43A0-914D-30A8C60E9C8D}">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16" authorId="0" shapeId="0" xr:uid="{A2FA8385-5FC4-4E17-B606-CF441DD004B1}">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16" authorId="0" shapeId="0" xr:uid="{8AF40F31-6E81-4B54-82E3-7E003CDE6CF0}">
      <text>
        <r>
          <rPr>
            <sz val="8"/>
            <color indexed="81"/>
            <rFont val="Tahoma"/>
            <family val="2"/>
          </rPr>
          <t>Please Note: 
If Closed option is chosen then the blades 
can be damaged if they are left open 
when Sliding the Panel.
Open is not an option for 3 Tracks.</t>
        </r>
      </text>
    </comment>
    <comment ref="Z16" authorId="0" shapeId="0" xr:uid="{B696F5CA-22F0-4E77-9117-C437CC1AAE21}">
      <text>
        <r>
          <rPr>
            <sz val="8"/>
            <color indexed="81"/>
            <rFont val="Tahoma"/>
            <family val="2"/>
          </rPr>
          <t>If any T Posts are required then the measurements 
must be supplied under the next columns.
Measurements should be made from the left.</t>
        </r>
      </text>
    </comment>
    <comment ref="AD16" authorId="0" shapeId="0" xr:uid="{EA6D8774-6738-4C7A-B72D-930A36CCA84F}">
      <text>
        <r>
          <rPr>
            <sz val="8"/>
            <color indexed="81"/>
            <rFont val="Tahoma"/>
            <family val="2"/>
          </rPr>
          <t>This option is dependent on the 
Material.
For Fauxwood Eco Air the options are;
Standard
For Timber Eco
the options are;
50mm Beaded (Default)
50mm Flat
60mm Beaded
60mm Flat</t>
        </r>
      </text>
    </comment>
    <comment ref="C17" authorId="0" shapeId="0" xr:uid="{2541FB26-41EC-4B14-B1E7-DC4EE6A3D7C3}">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17" authorId="0" shapeId="0" xr:uid="{CAD30E51-8BBB-40E1-8450-72D82DA0D5A5}">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17" authorId="0" shapeId="0" xr:uid="{BE4F7012-9CB8-47E8-B400-05C21B95D85B}">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17" authorId="0" shapeId="0" xr:uid="{DC11CFD4-3A42-4AE5-BDB9-AC5BA941EEE1}">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7" authorId="0" shapeId="0" xr:uid="{E1A0F3D4-3D01-460A-95AE-7B7A758A4D24}">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17" authorId="0" shapeId="0" xr:uid="{A78D5CD6-C6BF-4685-9DD2-6C39F9A2B38C}">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17" authorId="0" shapeId="0" xr:uid="{C349D80C-FBED-405A-9800-439C5C09606B}">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17" authorId="0" shapeId="0" xr:uid="{E239CC3D-D775-4EEF-9BFA-EBF03A187EC8}">
      <text>
        <r>
          <rPr>
            <sz val="8"/>
            <color indexed="81"/>
            <rFont val="Tahoma"/>
            <family val="2"/>
          </rPr>
          <t>This calculated option is dependent on the 
Material and Frame type.
If a T Post is used the Panels could still be 
oversized/large depending 
on the configuration.</t>
        </r>
      </text>
    </comment>
    <comment ref="L17" authorId="0" shapeId="0" xr:uid="{D53C2E6E-8699-4A5B-9B6D-4E7CCAD66A22}">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17" authorId="0" shapeId="0" xr:uid="{A1D52FE0-C179-4307-A85B-F98597911408}">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17" authorId="0" shapeId="0" xr:uid="{EC08E088-6BF7-43C3-8DE2-C11149396B8D}">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17" authorId="0" shapeId="0" xr:uid="{B789E4F8-6C03-48CD-B42C-FD0429D079F9}">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17" authorId="0" shapeId="0" xr:uid="{D829DBA1-FF1D-4B36-A6CA-E07BBE13F924}">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17" authorId="0" shapeId="0" xr:uid="{48541AA6-3183-4BFE-8CE1-7CC3BE7B6CF0}">
      <text>
        <r>
          <rPr>
            <sz val="8"/>
            <color indexed="81"/>
            <rFont val="Tahoma"/>
            <family val="2"/>
          </rPr>
          <t>Frame Type is dependent on
 Mounting Method.</t>
        </r>
      </text>
    </comment>
    <comment ref="W17" authorId="0" shapeId="0" xr:uid="{E7D65DEE-7CDE-475E-A576-ABE75C48AEA9}">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17" authorId="0" shapeId="0" xr:uid="{770458B3-6DDC-443D-81A1-491E29609BB9}">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17" authorId="0" shapeId="0" xr:uid="{D3FA4EDD-9C93-4329-8A38-B79769DC36BE}">
      <text>
        <r>
          <rPr>
            <sz val="8"/>
            <color indexed="81"/>
            <rFont val="Tahoma"/>
            <family val="2"/>
          </rPr>
          <t>Please Note: 
If Closed option is chosen then the blades 
can be damaged if they are left open 
when Sliding the Panel.
Open is not an option for 3 Tracks.</t>
        </r>
      </text>
    </comment>
    <comment ref="Z17" authorId="0" shapeId="0" xr:uid="{B9DBE750-C2CF-434B-BD15-F3936E745A96}">
      <text>
        <r>
          <rPr>
            <sz val="8"/>
            <color indexed="81"/>
            <rFont val="Tahoma"/>
            <family val="2"/>
          </rPr>
          <t>If any T Posts are required then the measurements 
must be supplied under the next columns.
Measurements should be made from the left.</t>
        </r>
      </text>
    </comment>
    <comment ref="AD17" authorId="0" shapeId="0" xr:uid="{D9990B3A-B896-44C9-B1F4-7171974D8C7D}">
      <text>
        <r>
          <rPr>
            <sz val="8"/>
            <color indexed="81"/>
            <rFont val="Tahoma"/>
            <family val="2"/>
          </rPr>
          <t>This option is dependent on the 
Material.
For Fauxwood Eco Air the options are;
Standard
For Timber Eco
the options are;
50mm Beaded (Default)
50mm Flat
60mm Beaded
60mm Flat</t>
        </r>
      </text>
    </comment>
    <comment ref="C18" authorId="0" shapeId="0" xr:uid="{F88380A6-26C3-4FC9-862D-3FCA0B93AA67}">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18" authorId="0" shapeId="0" xr:uid="{24D008C2-D857-4C90-8235-C01E13C3B728}">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18" authorId="0" shapeId="0" xr:uid="{F5A28222-E6EB-4D2B-A3B6-4ABADC1D65C0}">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18" authorId="0" shapeId="0" xr:uid="{77DC6536-3588-485A-90A9-629B0BEC203F}">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8" authorId="0" shapeId="0" xr:uid="{514859A6-90D2-4666-BB11-9DDFD56B1DBA}">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18" authorId="0" shapeId="0" xr:uid="{03EA7CC9-1EBB-45C3-94A4-6B673E3857FB}">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18" authorId="0" shapeId="0" xr:uid="{F599BEF6-638C-47D9-AFF7-6BA6DFA54CAB}">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18" authorId="0" shapeId="0" xr:uid="{7640276E-C3FA-44EA-889F-30A84029F94D}">
      <text>
        <r>
          <rPr>
            <sz val="8"/>
            <color indexed="81"/>
            <rFont val="Tahoma"/>
            <family val="2"/>
          </rPr>
          <t>This calculated option is dependent on the 
Material and Frame type.
If a T Post is used the Panels could still be 
oversized/large depending 
on the configuration.</t>
        </r>
      </text>
    </comment>
    <comment ref="L18" authorId="0" shapeId="0" xr:uid="{A1874C3E-5D2C-422D-BDA7-E2D9D89AB188}">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18" authorId="0" shapeId="0" xr:uid="{382E8727-1BC5-48E4-B8F7-754CFFB96FC0}">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18" authorId="0" shapeId="0" xr:uid="{A2AA6DFC-03C7-4919-B6B8-263C37F1A417}">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18" authorId="0" shapeId="0" xr:uid="{3868A883-63A1-45B2-9952-6EC87657A22F}">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18" authorId="0" shapeId="0" xr:uid="{8574BEBE-D86B-4FC2-9856-B6FE93D2C3AA}">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18" authorId="0" shapeId="0" xr:uid="{07253A99-E2DD-4315-A0D4-3E1112BCBCA1}">
      <text>
        <r>
          <rPr>
            <sz val="8"/>
            <color indexed="81"/>
            <rFont val="Tahoma"/>
            <family val="2"/>
          </rPr>
          <t>Frame Type is dependent on
 Mounting Method.</t>
        </r>
      </text>
    </comment>
    <comment ref="W18" authorId="0" shapeId="0" xr:uid="{D13D04FE-84EE-4FBE-ABF6-FE0A8836EA03}">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18" authorId="0" shapeId="0" xr:uid="{7CEC420D-115A-483F-9F20-105AE3583112}">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18" authorId="0" shapeId="0" xr:uid="{709953E9-EC72-4FEC-AD25-45A4F02730A0}">
      <text>
        <r>
          <rPr>
            <sz val="8"/>
            <color indexed="81"/>
            <rFont val="Tahoma"/>
            <family val="2"/>
          </rPr>
          <t>Please Note: 
If Closed option is chosen then the blades 
can be damaged if they are left open 
when Sliding the Panel.
Open is not an option for 3 Tracks.</t>
        </r>
      </text>
    </comment>
    <comment ref="Z18" authorId="0" shapeId="0" xr:uid="{0D08CE24-48C8-4B32-A60F-6D59DA235741}">
      <text>
        <r>
          <rPr>
            <sz val="8"/>
            <color indexed="81"/>
            <rFont val="Tahoma"/>
            <family val="2"/>
          </rPr>
          <t>If any T Posts are required then the measurements 
must be supplied under the next columns.
Measurements should be made from the left.</t>
        </r>
      </text>
    </comment>
    <comment ref="AD18" authorId="0" shapeId="0" xr:uid="{7AE6C072-073C-4A16-BC0A-966DF5303801}">
      <text>
        <r>
          <rPr>
            <sz val="8"/>
            <color indexed="81"/>
            <rFont val="Tahoma"/>
            <family val="2"/>
          </rPr>
          <t>This option is dependent on the 
Material.
For Fauxwood Eco Air the options are;
Standard
For Timber Eco
the options are;
50mm Beaded (Default)
50mm Flat
60mm Beaded
60mm Flat</t>
        </r>
      </text>
    </comment>
    <comment ref="C19" authorId="0" shapeId="0" xr:uid="{1E18DBF8-014F-49A0-8A37-DB8CF179C0E2}">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19" authorId="0" shapeId="0" xr:uid="{90FE76EE-F023-44D7-9026-D296A4871AAF}">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19" authorId="0" shapeId="0" xr:uid="{6AD7BD5D-91ED-4FCC-BF05-4ACD80BEF784}">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19" authorId="0" shapeId="0" xr:uid="{E2D1B1F2-4964-4638-B8EC-816A080ED8FF}">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9" authorId="0" shapeId="0" xr:uid="{B2CAA0CE-FB2E-4542-81DA-E626F25B58C0}">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19" authorId="0" shapeId="0" xr:uid="{990B6270-A812-4E10-A5D1-444D38529434}">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19" authorId="0" shapeId="0" xr:uid="{2E47C63C-71F3-4D7B-9119-C89ECE7EF2FC}">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19" authorId="0" shapeId="0" xr:uid="{CA0FA9B6-1238-4048-BCBB-E1FC66870E6A}">
      <text>
        <r>
          <rPr>
            <sz val="8"/>
            <color indexed="81"/>
            <rFont val="Tahoma"/>
            <family val="2"/>
          </rPr>
          <t>This calculated option is dependent on the 
Material and Frame type.
If a T Post is used the Panels could still be 
oversized/large depending 
on the configuration.</t>
        </r>
      </text>
    </comment>
    <comment ref="L19" authorId="0" shapeId="0" xr:uid="{1BA3BCE1-B24A-4A79-86A0-A2AF2A0E30E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19" authorId="0" shapeId="0" xr:uid="{E00BD01A-16A2-4810-820D-79E00DEA5E2B}">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19" authorId="0" shapeId="0" xr:uid="{47659F31-8528-4AA5-9DAC-36FDBECA0191}">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19" authorId="0" shapeId="0" xr:uid="{2CA89FA5-36B2-4C34-AAA7-81CF8A60BBC5}">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19" authorId="0" shapeId="0" xr:uid="{0C8EFC45-BC72-45E1-AE26-8C13F1256711}">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19" authorId="0" shapeId="0" xr:uid="{34067239-E885-4A94-8D20-8C8CA29C5536}">
      <text>
        <r>
          <rPr>
            <sz val="8"/>
            <color indexed="81"/>
            <rFont val="Tahoma"/>
            <family val="2"/>
          </rPr>
          <t>Frame Type is dependent on
 Mounting Method.</t>
        </r>
      </text>
    </comment>
    <comment ref="W19" authorId="0" shapeId="0" xr:uid="{4A59465A-A96D-4E67-862F-3A58D9FBDD28}">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19" authorId="0" shapeId="0" xr:uid="{EFB29E18-DC5E-4895-9DBD-DEB38C9F3A15}">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19" authorId="0" shapeId="0" xr:uid="{56C274FC-4BFC-40D9-ACB2-19DC35F03E0F}">
      <text>
        <r>
          <rPr>
            <sz val="8"/>
            <color indexed="81"/>
            <rFont val="Tahoma"/>
            <family val="2"/>
          </rPr>
          <t>Please Note: 
If Closed option is chosen then the blades 
can be damaged if they are left open 
when Sliding the Panel.
Open is not an option for 3 Tracks.</t>
        </r>
      </text>
    </comment>
    <comment ref="Z19" authorId="0" shapeId="0" xr:uid="{BC85A751-4F3B-4E71-9E38-3AC6BB2DC05D}">
      <text>
        <r>
          <rPr>
            <sz val="8"/>
            <color indexed="81"/>
            <rFont val="Tahoma"/>
            <family val="2"/>
          </rPr>
          <t>If any T Posts are required then the measurements 
must be supplied under the next columns.
Measurements should be made from the left.</t>
        </r>
      </text>
    </comment>
    <comment ref="AD19" authorId="0" shapeId="0" xr:uid="{22B1B981-F166-439D-A7F8-DDF208B3D775}">
      <text>
        <r>
          <rPr>
            <sz val="8"/>
            <color indexed="81"/>
            <rFont val="Tahoma"/>
            <family val="2"/>
          </rPr>
          <t>This option is dependent on the 
Material.
For Fauxwood Eco Air the options are;
Standard
For Timber Eco
the options are;
50mm Beaded (Default)
50mm Flat
60mm Beaded
60mm Flat</t>
        </r>
      </text>
    </comment>
    <comment ref="C20" authorId="0" shapeId="0" xr:uid="{5B201FEA-1E1B-4173-8B5D-00FED388AF22}">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20" authorId="0" shapeId="0" xr:uid="{609BE419-641C-4D5C-A992-B5B676614B87}">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20" authorId="0" shapeId="0" xr:uid="{FF82E3C1-1088-46BB-8127-087612E785C4}">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20" authorId="0" shapeId="0" xr:uid="{DFDDF445-FA0D-4229-98DA-0C9B8F71F041}">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20" authorId="0" shapeId="0" xr:uid="{5FE9825D-C523-47B3-85D1-52C2A056F0F2}">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20" authorId="0" shapeId="0" xr:uid="{6CC96CF2-D007-46E8-A4DC-529C5CF687CA}">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20" authorId="0" shapeId="0" xr:uid="{647EFB2C-1E4D-4D9E-9E97-F688E86DA794}">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20" authorId="0" shapeId="0" xr:uid="{102C3C02-FD27-42FC-8EAE-DA5B03A342CB}">
      <text>
        <r>
          <rPr>
            <sz val="8"/>
            <color indexed="81"/>
            <rFont val="Tahoma"/>
            <family val="2"/>
          </rPr>
          <t>This calculated option is dependent on the 
Material and Frame type.
If a T Post is used the Panels could still be 
oversized/large depending 
on the configuration.</t>
        </r>
      </text>
    </comment>
    <comment ref="L20" authorId="0" shapeId="0" xr:uid="{910CFBE3-36B1-49FF-8126-1DAD3386ADB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20" authorId="0" shapeId="0" xr:uid="{D1A6B349-51DC-4FCE-B0C5-65A25ED57E71}">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20" authorId="0" shapeId="0" xr:uid="{2C0D0294-3089-43E2-A75C-720596DB16F9}">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20" authorId="0" shapeId="0" xr:uid="{770D7853-C077-4701-A860-EF1C48089689}">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20" authorId="0" shapeId="0" xr:uid="{E9CB13E0-866E-4726-AD02-03ABF536CDEE}">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20" authorId="0" shapeId="0" xr:uid="{31BF3318-A58B-4B82-A81B-1DF83AF7DB80}">
      <text>
        <r>
          <rPr>
            <sz val="8"/>
            <color indexed="81"/>
            <rFont val="Tahoma"/>
            <family val="2"/>
          </rPr>
          <t>Frame Type is dependent on
 Mounting Method.</t>
        </r>
      </text>
    </comment>
    <comment ref="W20" authorId="0" shapeId="0" xr:uid="{4BE24D35-0D13-408E-9BDD-CD8146F76B07}">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20" authorId="0" shapeId="0" xr:uid="{F6C14799-16AB-4067-986C-F3120221B644}">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20" authorId="0" shapeId="0" xr:uid="{5D7B2854-8C50-40AC-BA28-C74A1FD12660}">
      <text>
        <r>
          <rPr>
            <sz val="8"/>
            <color indexed="81"/>
            <rFont val="Tahoma"/>
            <family val="2"/>
          </rPr>
          <t>Please Note: 
If Closed option is chosen then the blades 
can be damaged if they are left open 
when Sliding the Panel.
Open is not an option for 3 Tracks.</t>
        </r>
      </text>
    </comment>
    <comment ref="Z20" authorId="0" shapeId="0" xr:uid="{B8E39136-91F3-4085-983F-E08AB8EDA5EE}">
      <text>
        <r>
          <rPr>
            <sz val="8"/>
            <color indexed="81"/>
            <rFont val="Tahoma"/>
            <family val="2"/>
          </rPr>
          <t>If any T Posts are required then the measurements 
must be supplied under the next columns.
Measurements should be made from the left.</t>
        </r>
      </text>
    </comment>
    <comment ref="AD20" authorId="0" shapeId="0" xr:uid="{C65EA467-D661-48E1-BAB1-E55A170F464F}">
      <text>
        <r>
          <rPr>
            <sz val="8"/>
            <color indexed="81"/>
            <rFont val="Tahoma"/>
            <family val="2"/>
          </rPr>
          <t>This option is dependent on the 
Material.
For Fauxwood Eco Air the options are;
Standard
For Timber Eco
the options are;
50mm Beaded (Default)
50mm Flat
60mm Beaded
60mm Flat</t>
        </r>
      </text>
    </comment>
    <comment ref="C21" authorId="0" shapeId="0" xr:uid="{DDDB02FC-556C-4C7A-91EA-D0BAEA5F7CA4}">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21" authorId="0" shapeId="0" xr:uid="{B51435DB-16A7-4396-82CD-42AA1A0F47CB}">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21" authorId="0" shapeId="0" xr:uid="{7976495F-2222-4A4B-98D8-18E7AA63E40F}">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21" authorId="0" shapeId="0" xr:uid="{DF5CED87-DC85-4BD2-A319-8ECADCE81927}">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21" authorId="0" shapeId="0" xr:uid="{61F698FF-7FF1-4682-B276-0EF1A6430232}">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21" authorId="0" shapeId="0" xr:uid="{90A4EF0A-2F4D-4709-A4AA-5D58553E1E29}">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21" authorId="0" shapeId="0" xr:uid="{C0C380CB-673C-4A65-8BEC-C287752BA149}">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21" authorId="0" shapeId="0" xr:uid="{0641A12B-2EEE-4B05-A9CC-58F9B5FE5C7E}">
      <text>
        <r>
          <rPr>
            <sz val="8"/>
            <color indexed="81"/>
            <rFont val="Tahoma"/>
            <family val="2"/>
          </rPr>
          <t>This calculated option is dependent on the 
Material and Frame type.
If a T Post is used the Panels could still be 
oversized/large depending 
on the configuration.</t>
        </r>
      </text>
    </comment>
    <comment ref="L21" authorId="0" shapeId="0" xr:uid="{6120CDEF-B2A5-4C1F-9F5F-1077D1D1B70B}">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21" authorId="0" shapeId="0" xr:uid="{541BCEF1-97CA-40FA-89C8-741496CBE1E9}">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21" authorId="0" shapeId="0" xr:uid="{661DE6D2-7FBC-47ED-8DC5-B0E82A9C244A}">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21" authorId="0" shapeId="0" xr:uid="{F79E6751-6823-414B-A572-5C0A298C0891}">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21" authorId="0" shapeId="0" xr:uid="{CCF1F97C-BC89-41B1-B81D-BAD3E3E6B4EE}">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21" authorId="0" shapeId="0" xr:uid="{762EBB9D-3A75-40F9-9532-CC99F5C4EFE0}">
      <text>
        <r>
          <rPr>
            <sz val="8"/>
            <color indexed="81"/>
            <rFont val="Tahoma"/>
            <family val="2"/>
          </rPr>
          <t>Frame Type is dependent on
 Mounting Method.</t>
        </r>
      </text>
    </comment>
    <comment ref="W21" authorId="0" shapeId="0" xr:uid="{E9E51CCF-1CB1-42C4-935B-BF3E1C7216FB}">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21" authorId="0" shapeId="0" xr:uid="{9A975D73-F7E6-45C1-B128-79FFBE5097F7}">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21" authorId="0" shapeId="0" xr:uid="{C2D081C7-CED5-4BEF-8BB7-680023BA12F3}">
      <text>
        <r>
          <rPr>
            <sz val="8"/>
            <color indexed="81"/>
            <rFont val="Tahoma"/>
            <family val="2"/>
          </rPr>
          <t>Please Note: 
If Closed option is chosen then the blades 
can be damaged if they are left open 
when Sliding the Panel.
Open is not an option for 3 Tracks.</t>
        </r>
      </text>
    </comment>
    <comment ref="Z21" authorId="0" shapeId="0" xr:uid="{8A84EBFE-67D0-4717-9CBA-F7E3E0B2ECED}">
      <text>
        <r>
          <rPr>
            <sz val="8"/>
            <color indexed="81"/>
            <rFont val="Tahoma"/>
            <family val="2"/>
          </rPr>
          <t>If any T Posts are required then the measurements 
must be supplied under the next columns.
Measurements should be made from the left.</t>
        </r>
      </text>
    </comment>
    <comment ref="AD21" authorId="0" shapeId="0" xr:uid="{DCB5E5C8-9051-408F-B78B-63257A997886}">
      <text>
        <r>
          <rPr>
            <sz val="8"/>
            <color indexed="81"/>
            <rFont val="Tahoma"/>
            <family val="2"/>
          </rPr>
          <t>This option is dependent on the 
Material.
For Fauxwood Eco Air the options are;
Standard
For Timber Eco
the options are;
50mm Beaded (Default)
50mm Flat
60mm Beaded
60mm Flat</t>
        </r>
      </text>
    </comment>
    <comment ref="C22" authorId="0" shapeId="0" xr:uid="{C603107D-1C24-4240-AF9E-E17949073593}">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22" authorId="0" shapeId="0" xr:uid="{AF21DCB5-194A-40E0-94C4-FF43CC5E79AB}">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22" authorId="0" shapeId="0" xr:uid="{7562D17C-A834-4476-8747-E39C2A574322}">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22" authorId="0" shapeId="0" xr:uid="{8111C59C-6099-4EE3-BE26-41A12534004A}">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22" authorId="0" shapeId="0" xr:uid="{A773D316-7ADA-48C4-8275-8A121B9A4CDC}">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22" authorId="0" shapeId="0" xr:uid="{209C8422-FF62-4D03-8B82-76E120A645D9}">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22" authorId="0" shapeId="0" xr:uid="{93EC46CC-B858-4ED2-97B1-8B2718A2F61E}">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22" authorId="0" shapeId="0" xr:uid="{42C85A0D-BE88-428D-A3F8-6CD10E6DA4A7}">
      <text>
        <r>
          <rPr>
            <sz val="8"/>
            <color indexed="81"/>
            <rFont val="Tahoma"/>
            <family val="2"/>
          </rPr>
          <t>This calculated option is dependent on the 
Material and Frame type.
If a T Post is used the Panels could still be 
oversized/large depending 
on the configuration.</t>
        </r>
      </text>
    </comment>
    <comment ref="L22" authorId="0" shapeId="0" xr:uid="{B4CB3A58-785C-4E25-ADBD-5700F1B7FEF9}">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22" authorId="0" shapeId="0" xr:uid="{5EE572F0-D30E-41EC-B544-4A0BC66235FB}">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22" authorId="0" shapeId="0" xr:uid="{4EAC2688-AD97-4A53-9756-55B77191A746}">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22" authorId="0" shapeId="0" xr:uid="{C65985F0-B5F6-4617-ABAA-D8955CB2C0A4}">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22" authorId="0" shapeId="0" xr:uid="{D83A4FC3-53E4-4B8E-8B12-480FFDF45151}">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22" authorId="0" shapeId="0" xr:uid="{F955B39D-DB45-4EF3-A676-17A1ED500800}">
      <text>
        <r>
          <rPr>
            <sz val="8"/>
            <color indexed="81"/>
            <rFont val="Tahoma"/>
            <family val="2"/>
          </rPr>
          <t>Frame Type is dependent on
 Mounting Method.</t>
        </r>
      </text>
    </comment>
    <comment ref="W22" authorId="0" shapeId="0" xr:uid="{E28DCAC4-0DE0-4B87-9F68-83F3A2F8BB7E}">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22" authorId="0" shapeId="0" xr:uid="{DB63117A-AEEC-46E9-A881-81AD60964DFF}">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22" authorId="0" shapeId="0" xr:uid="{B50B6786-381E-49CD-B77F-A65DE28D6A04}">
      <text>
        <r>
          <rPr>
            <sz val="8"/>
            <color indexed="81"/>
            <rFont val="Tahoma"/>
            <family val="2"/>
          </rPr>
          <t>Please Note: 
If Closed option is chosen then the blades 
can be damaged if they are left open 
when Sliding the Panel.
Open is not an option for 3 Tracks.</t>
        </r>
      </text>
    </comment>
    <comment ref="Z22" authorId="0" shapeId="0" xr:uid="{0D8B1B07-5ED3-43D3-9F34-6321E4A3B320}">
      <text>
        <r>
          <rPr>
            <sz val="8"/>
            <color indexed="81"/>
            <rFont val="Tahoma"/>
            <family val="2"/>
          </rPr>
          <t>If any T Posts are required then the measurements 
must be supplied under the next columns.
Measurements should be made from the left.</t>
        </r>
      </text>
    </comment>
    <comment ref="AD22" authorId="0" shapeId="0" xr:uid="{6990A848-64E0-4526-B802-58DCF2DECBBC}">
      <text>
        <r>
          <rPr>
            <sz val="8"/>
            <color indexed="81"/>
            <rFont val="Tahoma"/>
            <family val="2"/>
          </rPr>
          <t>This option is dependent on the 
Material.
For Fauxwood Eco Air the options are;
Standard
For Timber Eco
the options are;
50mm Beaded (Default)
50mm Flat
60mm Beaded
60mm Flat</t>
        </r>
      </text>
    </comment>
    <comment ref="C23" authorId="0" shapeId="0" xr:uid="{01449569-9171-4DA7-A8CA-7632E76304A0}">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23" authorId="0" shapeId="0" xr:uid="{C5819097-F7D0-4AF0-ADF5-ACA882F62718}">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23" authorId="0" shapeId="0" xr:uid="{0FD85E0F-432C-4646-9471-C798FAC47E45}">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23" authorId="0" shapeId="0" xr:uid="{6D519587-B3E7-4054-A878-B85F81FB42F6}">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23" authorId="0" shapeId="0" xr:uid="{20A2E84D-BA4D-4319-A13F-27A322122FE2}">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23" authorId="0" shapeId="0" xr:uid="{D9BB5C4A-9E0B-472B-8D29-1509FBD76CA0}">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23" authorId="0" shapeId="0" xr:uid="{47F09E08-A85B-4000-8B1C-CB5E56C32DAE}">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23" authorId="0" shapeId="0" xr:uid="{69132450-53E1-4100-AAB9-4FB2FF1D3D54}">
      <text>
        <r>
          <rPr>
            <sz val="8"/>
            <color indexed="81"/>
            <rFont val="Tahoma"/>
            <family val="2"/>
          </rPr>
          <t>This calculated option is dependent on the 
Material and Frame type.
If a T Post is used the Panels could still be 
oversized/large depending 
on the configuration.</t>
        </r>
      </text>
    </comment>
    <comment ref="L23" authorId="0" shapeId="0" xr:uid="{37B5A022-2D88-4CEE-B00B-3A6A2537C595}">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23" authorId="0" shapeId="0" xr:uid="{547D9EE8-5CF6-4F8D-B57E-CE41760C7138}">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23" authorId="0" shapeId="0" xr:uid="{1B3AD0D7-A129-4F21-99C3-0C1F604072D5}">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23" authorId="0" shapeId="0" xr:uid="{740AA7BE-CE49-4547-8E0B-4D4FC7F8B517}">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23" authorId="0" shapeId="0" xr:uid="{4301D678-2126-49B1-8831-EDD439C021BC}">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23" authorId="0" shapeId="0" xr:uid="{6712F347-8BAD-41B6-A70F-83F3C6D4986B}">
      <text>
        <r>
          <rPr>
            <sz val="8"/>
            <color indexed="81"/>
            <rFont val="Tahoma"/>
            <family val="2"/>
          </rPr>
          <t>Frame Type is dependent on
 Mounting Method.</t>
        </r>
      </text>
    </comment>
    <comment ref="W23" authorId="0" shapeId="0" xr:uid="{4143DC3F-D8C0-4EC3-A5B9-41B190A8FAD3}">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23" authorId="0" shapeId="0" xr:uid="{905BED45-1613-474C-AAD5-8BEE39D9636B}">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23" authorId="0" shapeId="0" xr:uid="{2E6BAD1A-BFF3-4175-A5A7-D2BCCE2A6315}">
      <text>
        <r>
          <rPr>
            <sz val="8"/>
            <color indexed="81"/>
            <rFont val="Tahoma"/>
            <family val="2"/>
          </rPr>
          <t>Please Note: 
If Closed option is chosen then the blades 
can be damaged if they are left open 
when Sliding the Panel.
Open is not an option for 3 Tracks.</t>
        </r>
      </text>
    </comment>
    <comment ref="Z23" authorId="0" shapeId="0" xr:uid="{A5CBF274-4757-4FEF-95C2-4F542FEE9E07}">
      <text>
        <r>
          <rPr>
            <sz val="8"/>
            <color indexed="81"/>
            <rFont val="Tahoma"/>
            <family val="2"/>
          </rPr>
          <t>If any T Posts are required then the measurements 
must be supplied under the next columns.
Measurements should be made from the left.</t>
        </r>
      </text>
    </comment>
    <comment ref="AD23" authorId="0" shapeId="0" xr:uid="{E36625DF-7AE5-4923-BB80-C5666AA8A33F}">
      <text>
        <r>
          <rPr>
            <sz val="8"/>
            <color indexed="81"/>
            <rFont val="Tahoma"/>
            <family val="2"/>
          </rPr>
          <t>This option is dependent on the 
Material.
For Fauxwood Eco Air the options are;
Standard
For Timber Eco
the options are;
50mm Beaded (Default)
50mm Flat
60mm Beaded
60mm Flat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C8" authorId="0" shapeId="0" xr:uid="{AF118C78-E15D-49E6-A2E4-4C6E79047262}">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8" authorId="0" shapeId="0" xr:uid="{EDE51654-53FB-4E6C-8011-049C94ACC72C}">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8" authorId="0" shapeId="0" xr:uid="{0D1A0C08-9861-4F3B-BA19-8E36D0974B78}">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8" authorId="0" shapeId="0" xr:uid="{9AB8A5E6-A4C0-4DF4-842E-AA6E0A463F76}">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8" authorId="0" shapeId="0" xr:uid="{6999F817-4FF4-43FB-9539-234382AED904}">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8" authorId="0" shapeId="0" xr:uid="{35771BC0-DB5E-4FB5-B964-E1A240C11953}">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8" authorId="0" shapeId="0" xr:uid="{E0769D04-0923-4AD9-93BB-DA735ED52193}">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8" authorId="0" shapeId="0" xr:uid="{B7D3C513-5E1C-4B5E-BE48-E97F42F6E17F}">
      <text>
        <r>
          <rPr>
            <sz val="8"/>
            <color indexed="81"/>
            <rFont val="Tahoma"/>
            <family val="2"/>
          </rPr>
          <t>This calculated option is dependent on the 
Material and Frame type.
If a T Post is used the Panels could still be 
oversized/large depending 
on the configuration.</t>
        </r>
      </text>
    </comment>
    <comment ref="L8" authorId="0" shapeId="0" xr:uid="{84171D1E-6D9B-4315-968A-493DC0B85E59}">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8" authorId="0" shapeId="0" xr:uid="{485F1651-C7B3-48BC-A493-30BA80E493C1}">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8" authorId="0" shapeId="0" xr:uid="{A5EE95C8-AC06-462F-AC4A-2207501C7FEC}">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8" authorId="0" shapeId="0" xr:uid="{77CCA931-EBE3-4C06-928D-1F3897329BD5}">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8" authorId="0" shapeId="0" xr:uid="{85451C67-46E7-4266-82C4-724094DB95F2}">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8" authorId="0" shapeId="0" xr:uid="{5E11C17F-ABB5-494B-A460-964216BFF028}">
      <text>
        <r>
          <rPr>
            <sz val="8"/>
            <color indexed="81"/>
            <rFont val="Tahoma"/>
            <family val="2"/>
          </rPr>
          <t>Frame Type is dependent on
 Mounting Method.</t>
        </r>
      </text>
    </comment>
    <comment ref="W8" authorId="0" shapeId="0" xr:uid="{934569C4-8EE6-4D46-B1AB-B03CD7EF5E47}">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8" authorId="0" shapeId="0" xr:uid="{5B07815B-5FDA-415F-A8B0-C90D70B679CC}">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8" authorId="0" shapeId="0" xr:uid="{9F3D42B3-9091-4326-9F57-F737D4860494}">
      <text>
        <r>
          <rPr>
            <sz val="8"/>
            <color indexed="81"/>
            <rFont val="Tahoma"/>
            <family val="2"/>
          </rPr>
          <t>Please Note: 
If Closed option is chosen then the blades 
can be damaged if they are left open 
when Sliding the Panel.
Open is not an option for 3 Tracks.</t>
        </r>
      </text>
    </comment>
    <comment ref="Z8" authorId="0" shapeId="0" xr:uid="{B992417E-4BA1-4DC4-93BA-3FFE79216569}">
      <text>
        <r>
          <rPr>
            <sz val="8"/>
            <color indexed="81"/>
            <rFont val="Tahoma"/>
            <family val="2"/>
          </rPr>
          <t>If any T Posts are required then the measurements 
must be supplied under the next columns.
Measurements should be made from the left.</t>
        </r>
      </text>
    </comment>
    <comment ref="AD8" authorId="0" shapeId="0" xr:uid="{FF6995B6-DB99-4F2B-9A18-F36C5B15D3C2}">
      <text>
        <r>
          <rPr>
            <sz val="8"/>
            <color indexed="81"/>
            <rFont val="Tahoma"/>
            <family val="2"/>
          </rPr>
          <t>This option is dependent on the 
Material.
For Fauxwood Eco Air the options are;
Standard
For Timber Eco
the options are;
50mm Beaded (Default)
50mm Flat
60mm Beaded
60mm Flat</t>
        </r>
      </text>
    </comment>
    <comment ref="AV8" authorId="0" shapeId="0" xr:uid="{BC6A70BE-0C15-4C13-BF43-0EDA92E73332}">
      <text>
        <r>
          <rPr>
            <sz val="8"/>
            <color indexed="81"/>
            <rFont val="Tahoma"/>
            <family val="2"/>
          </rPr>
          <t>The Hinge Quantity is 
calculated automatically.</t>
        </r>
      </text>
    </comment>
    <comment ref="BJ8" authorId="0" shapeId="0" xr:uid="{BC5DC15E-3310-4210-B194-F61EA9039F1B}">
      <text>
        <r>
          <rPr>
            <sz val="8"/>
            <color indexed="81"/>
            <rFont val="Tahoma"/>
            <family val="2"/>
          </rPr>
          <t>Please Note: 
If Closed option is chosen then the blades can be damaged if they are left open 
when sliding the Panel.</t>
        </r>
      </text>
    </comment>
    <comment ref="C9" authorId="0" shapeId="0" xr:uid="{DD5BC6F6-A522-473C-90F5-98F8177C8A46}">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9" authorId="0" shapeId="0" xr:uid="{B4CF22A0-EE4C-46C3-92AB-F65C9A5A5A9D}">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9" authorId="0" shapeId="0" xr:uid="{AB8A99CF-1EEF-4E88-9CC7-35D0E5BF6B85}">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9" authorId="0" shapeId="0" xr:uid="{1559EE1D-C3D5-4400-8B3F-2AF712B20BA7}">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9" authorId="0" shapeId="0" xr:uid="{37F65A4A-084F-4E67-9593-D5D80E827BAA}">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9" authorId="0" shapeId="0" xr:uid="{906FBB79-3258-4ECB-898F-709B75AA041D}">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9" authorId="0" shapeId="0" xr:uid="{4C3667B7-989D-407C-80BB-134BE3719883}">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9" authorId="0" shapeId="0" xr:uid="{FCA3A8C6-E869-435F-A37D-8E3363239E6A}">
      <text>
        <r>
          <rPr>
            <sz val="8"/>
            <color indexed="81"/>
            <rFont val="Tahoma"/>
            <family val="2"/>
          </rPr>
          <t>This calculated option is dependent on the 
Material and Frame type.
If a T Post is used the Panels could still be 
oversized/large depending 
on the configuration.</t>
        </r>
      </text>
    </comment>
    <comment ref="L9" authorId="0" shapeId="0" xr:uid="{BED5377A-7CAE-4585-A618-70CBF1FD60CA}">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9" authorId="0" shapeId="0" xr:uid="{E8FB5CE1-6115-4EAD-A8FF-7F24AD80F0AB}">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9" authorId="0" shapeId="0" xr:uid="{F6102E90-3BC7-421E-8D0D-F3D72E701E41}">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9" authorId="0" shapeId="0" xr:uid="{D60D3395-C5EF-4331-BD98-FCA4237FCE77}">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9" authorId="0" shapeId="0" xr:uid="{CA75763B-7DAB-473E-AA12-C5D2258DDD5A}">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9" authorId="0" shapeId="0" xr:uid="{853EE02D-8CC2-42DD-8194-A63F51A46DF8}">
      <text>
        <r>
          <rPr>
            <sz val="8"/>
            <color indexed="81"/>
            <rFont val="Tahoma"/>
            <family val="2"/>
          </rPr>
          <t>Frame Type is dependent on
 Mounting Method.</t>
        </r>
      </text>
    </comment>
    <comment ref="W9" authorId="0" shapeId="0" xr:uid="{9C6DFF81-CA89-444D-B485-149480B806D3}">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9" authorId="0" shapeId="0" xr:uid="{06F7DE58-CD22-4409-A875-3790CFC69358}">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9" authorId="0" shapeId="0" xr:uid="{257A9FE5-5690-4F15-A40C-AF1F07E960C4}">
      <text>
        <r>
          <rPr>
            <sz val="8"/>
            <color indexed="81"/>
            <rFont val="Tahoma"/>
            <family val="2"/>
          </rPr>
          <t>Please Note: 
If Closed option is chosen then the blades 
can be damaged if they are left open 
when Sliding the Panel.
Open is not an option for 3 Tracks.</t>
        </r>
      </text>
    </comment>
    <comment ref="Z9" authorId="0" shapeId="0" xr:uid="{54267ECE-78E6-4AC0-BE07-0BDEFE2214DE}">
      <text>
        <r>
          <rPr>
            <sz val="8"/>
            <color indexed="81"/>
            <rFont val="Tahoma"/>
            <family val="2"/>
          </rPr>
          <t>If any T Posts are required then the measurements 
must be supplied under the next columns.
Measurements should be made from the left.</t>
        </r>
      </text>
    </comment>
    <comment ref="AD9" authorId="0" shapeId="0" xr:uid="{FF47CB72-31B5-4CE6-B935-63010A98D075}">
      <text>
        <r>
          <rPr>
            <sz val="8"/>
            <color indexed="81"/>
            <rFont val="Tahoma"/>
            <family val="2"/>
          </rPr>
          <t>This option is dependent on the 
Material.
For Fauxwood Eco Air the options are;
Standard
For Timber Eco
the options are;
50mm Beaded (Default)
50mm Flat
60mm Beaded
60mm Flat</t>
        </r>
      </text>
    </comment>
    <comment ref="C10" authorId="0" shapeId="0" xr:uid="{B72CD8A5-08F0-4157-AD20-A657DDC7E4E3}">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10" authorId="0" shapeId="0" xr:uid="{C966EABC-28F5-46D3-B318-C9650ECF4763}">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10" authorId="0" shapeId="0" xr:uid="{54188056-71CF-4A92-AAF2-A4D75DBAFFC2}">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10" authorId="0" shapeId="0" xr:uid="{DCAD209F-A663-46F1-B340-B3018185F1D3}">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0" authorId="0" shapeId="0" xr:uid="{2AA1C2AF-A630-4C06-A802-5FA6C3821284}">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10" authorId="0" shapeId="0" xr:uid="{04ACBCBF-17D4-42E5-9E88-2F33D37C15ED}">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10" authorId="0" shapeId="0" xr:uid="{EFF38473-F69F-41A2-9326-4D8AE1275040}">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10" authorId="0" shapeId="0" xr:uid="{C692507E-6F85-4E7E-A05D-9991BE052867}">
      <text>
        <r>
          <rPr>
            <sz val="8"/>
            <color indexed="81"/>
            <rFont val="Tahoma"/>
            <family val="2"/>
          </rPr>
          <t>This calculated option is dependent on the 
Material and Frame type.
If a T Post is used the Panels could still be 
oversized/large depending 
on the configuration.</t>
        </r>
      </text>
    </comment>
    <comment ref="L10" authorId="0" shapeId="0" xr:uid="{FFD21DB4-E77A-4D3D-8559-ABECB319A9E2}">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10" authorId="0" shapeId="0" xr:uid="{EC8AA7A0-F656-4089-ACCF-87F112AF0ECB}">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10" authorId="0" shapeId="0" xr:uid="{2A228A1A-5282-45E8-9412-28E46FA095CB}">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10" authorId="0" shapeId="0" xr:uid="{DE5699C8-F7B8-4F07-B9F3-8BBB03138045}">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10" authorId="0" shapeId="0" xr:uid="{E4A039CD-998E-4FFA-97FD-4CE619B8ABD5}">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10" authorId="0" shapeId="0" xr:uid="{960734BA-DE4C-492E-B733-4AA97526C0FA}">
      <text>
        <r>
          <rPr>
            <sz val="8"/>
            <color indexed="81"/>
            <rFont val="Tahoma"/>
            <family val="2"/>
          </rPr>
          <t>Frame Type is dependent on
 Mounting Method.</t>
        </r>
      </text>
    </comment>
    <comment ref="W10" authorId="0" shapeId="0" xr:uid="{5A09D31A-9948-4E65-BF26-2E25BA3356E0}">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10" authorId="0" shapeId="0" xr:uid="{6276FDAE-144C-4B02-BE40-763B5C897AAD}">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10" authorId="0" shapeId="0" xr:uid="{574DAC24-7805-4D5B-AE8B-79DC3BAA6BCC}">
      <text>
        <r>
          <rPr>
            <sz val="8"/>
            <color indexed="81"/>
            <rFont val="Tahoma"/>
            <family val="2"/>
          </rPr>
          <t>Please Note: 
If Closed option is chosen then the blades 
can be damaged if they are left open 
when Sliding the Panel.
Open is not an option for 3 Tracks.</t>
        </r>
      </text>
    </comment>
    <comment ref="Z10" authorId="0" shapeId="0" xr:uid="{73ADCAC6-F62D-4150-B5B3-E76459DFA6F4}">
      <text>
        <r>
          <rPr>
            <sz val="8"/>
            <color indexed="81"/>
            <rFont val="Tahoma"/>
            <family val="2"/>
          </rPr>
          <t>If any T Posts are required then the measurements 
must be supplied under the next columns.
Measurements should be made from the left.</t>
        </r>
      </text>
    </comment>
    <comment ref="AD10" authorId="0" shapeId="0" xr:uid="{21D757B0-E790-4651-A8C9-B053BBC62E5A}">
      <text>
        <r>
          <rPr>
            <sz val="8"/>
            <color indexed="81"/>
            <rFont val="Tahoma"/>
            <family val="2"/>
          </rPr>
          <t>This option is dependent on the 
Material.
For Fauxwood Eco Air the options are;
Standard
For Timber Eco
the options are;
50mm Beaded (Default)
50mm Flat
60mm Beaded
60mm Flat</t>
        </r>
      </text>
    </comment>
    <comment ref="C11" authorId="0" shapeId="0" xr:uid="{B5F1F04B-7E4B-4B59-8B0C-F0F4A92ED3B3}">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11" authorId="0" shapeId="0" xr:uid="{18046E53-586F-451F-9CB5-00ED492A10C5}">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11" authorId="0" shapeId="0" xr:uid="{73B44E96-8C53-4D0C-99C9-1D201339A461}">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11" authorId="0" shapeId="0" xr:uid="{C9A71429-2602-4A39-BFEE-CCBBFA133C74}">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1" authorId="0" shapeId="0" xr:uid="{EFBBD811-4C0B-4C65-950F-E6D6C31F204A}">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11" authorId="0" shapeId="0" xr:uid="{54FE5DBD-D31C-4CEF-AB69-8DC6E7E7FB54}">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11" authorId="0" shapeId="0" xr:uid="{78952151-A696-4F83-83F5-FD58FDD4B937}">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11" authorId="0" shapeId="0" xr:uid="{855C2609-B8EF-4E9A-AB23-CA4B8B7A7DE0}">
      <text>
        <r>
          <rPr>
            <sz val="8"/>
            <color indexed="81"/>
            <rFont val="Tahoma"/>
            <family val="2"/>
          </rPr>
          <t>This calculated option is dependent on the 
Material and Frame type.
If a T Post is used the Panels could still be 
oversized/large depending 
on the configuration.</t>
        </r>
      </text>
    </comment>
    <comment ref="L11" authorId="0" shapeId="0" xr:uid="{28E29A55-CCC5-49E9-961E-8D87C018D349}">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11" authorId="0" shapeId="0" xr:uid="{C0D2FA33-CADB-48D2-93C4-E8F12196BBE9}">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11" authorId="0" shapeId="0" xr:uid="{70E12B85-3E0A-4A8F-89CC-74EAC8792BB1}">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11" authorId="0" shapeId="0" xr:uid="{A616BC33-C856-4727-9E81-DEAB6C787393}">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11" authorId="0" shapeId="0" xr:uid="{D1B15E5C-96FC-473A-A327-FCA7F0C6726F}">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11" authorId="0" shapeId="0" xr:uid="{29381EDA-54FD-4155-A478-F79F478EC357}">
      <text>
        <r>
          <rPr>
            <sz val="8"/>
            <color indexed="81"/>
            <rFont val="Tahoma"/>
            <family val="2"/>
          </rPr>
          <t>Frame Type is dependent on
 Mounting Method.</t>
        </r>
      </text>
    </comment>
    <comment ref="W11" authorId="0" shapeId="0" xr:uid="{E132DA18-D437-4157-8BEB-FEFA13D932A3}">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11" authorId="0" shapeId="0" xr:uid="{E8BA5711-7367-4329-BCF7-4A759DE4CBC8}">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11" authorId="0" shapeId="0" xr:uid="{651DF17B-6BD2-4F39-A427-F83D0D1B71E6}">
      <text>
        <r>
          <rPr>
            <sz val="8"/>
            <color indexed="81"/>
            <rFont val="Tahoma"/>
            <family val="2"/>
          </rPr>
          <t>Please Note: 
If Closed option is chosen then the blades 
can be damaged if they are left open 
when Sliding the Panel.
Open is not an option for 3 Tracks.</t>
        </r>
      </text>
    </comment>
    <comment ref="Z11" authorId="0" shapeId="0" xr:uid="{EE1CAF8E-D834-417F-8D82-D83FAD72175A}">
      <text>
        <r>
          <rPr>
            <sz val="8"/>
            <color indexed="81"/>
            <rFont val="Tahoma"/>
            <family val="2"/>
          </rPr>
          <t>If any T Posts are required then the measurements 
must be supplied under the next columns.
Measurements should be made from the left.</t>
        </r>
      </text>
    </comment>
    <comment ref="AD11" authorId="0" shapeId="0" xr:uid="{9E8D81F0-5977-4B67-ADE4-38074B25333C}">
      <text>
        <r>
          <rPr>
            <sz val="8"/>
            <color indexed="81"/>
            <rFont val="Tahoma"/>
            <family val="2"/>
          </rPr>
          <t>This option is dependent on the 
Material.
For Fauxwood Eco Air the options are;
Standard
For Timber Eco
the options are;
50mm Beaded (Default)
50mm Flat
60mm Beaded
60mm Flat</t>
        </r>
      </text>
    </comment>
    <comment ref="C12" authorId="0" shapeId="0" xr:uid="{3EF1203F-FB20-41A9-979D-CCC6627F2DA3}">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12" authorId="0" shapeId="0" xr:uid="{5769833C-3920-4736-9C1A-1FF517DB822C}">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12" authorId="0" shapeId="0" xr:uid="{434851ED-4144-4E56-8099-44E6ED5EBCE5}">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12" authorId="0" shapeId="0" xr:uid="{8F27A6C9-2719-4F89-8B47-80C604C24112}">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2" authorId="0" shapeId="0" xr:uid="{C671BB0A-181F-4458-B4DE-8E9D86824711}">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12" authorId="0" shapeId="0" xr:uid="{5E680EE7-2091-43E5-ABBF-A85F3B21AB40}">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12" authorId="0" shapeId="0" xr:uid="{3D173939-8BFB-43C0-9607-10024FB2EF22}">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12" authorId="0" shapeId="0" xr:uid="{EC441F2C-700A-4DE3-B5A5-531F74D99C09}">
      <text>
        <r>
          <rPr>
            <sz val="8"/>
            <color indexed="81"/>
            <rFont val="Tahoma"/>
            <family val="2"/>
          </rPr>
          <t>This calculated option is dependent on the 
Material and Frame type.
If a T Post is used the Panels could still be 
oversized/large depending 
on the configuration.</t>
        </r>
      </text>
    </comment>
    <comment ref="L12" authorId="0" shapeId="0" xr:uid="{39EF09CB-DFFC-47A7-9188-8DA0918EFB3E}">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12" authorId="0" shapeId="0" xr:uid="{4CFED047-1483-4B25-9D1B-9D91D309E8CB}">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12" authorId="0" shapeId="0" xr:uid="{4B284176-FAC8-4A9F-8AEA-037DF525D811}">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12" authorId="0" shapeId="0" xr:uid="{129CD34D-C538-4DEF-AF71-4AEF1A2FBE1A}">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12" authorId="0" shapeId="0" xr:uid="{90FCBEE2-3631-4A87-9456-1D208445E9C8}">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12" authorId="0" shapeId="0" xr:uid="{711795C9-A3FD-4BFE-B98B-1B5D1AB6861E}">
      <text>
        <r>
          <rPr>
            <sz val="8"/>
            <color indexed="81"/>
            <rFont val="Tahoma"/>
            <family val="2"/>
          </rPr>
          <t>Frame Type is dependent on
 Mounting Method.</t>
        </r>
      </text>
    </comment>
    <comment ref="W12" authorId="0" shapeId="0" xr:uid="{D92F1DC7-FF7B-435C-9021-6081E952093D}">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12" authorId="0" shapeId="0" xr:uid="{5E1709B6-15DA-4C86-9FB6-8FDED3514BAE}">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12" authorId="0" shapeId="0" xr:uid="{20012146-11D6-4C59-A68B-7B37EBE29C95}">
      <text>
        <r>
          <rPr>
            <sz val="8"/>
            <color indexed="81"/>
            <rFont val="Tahoma"/>
            <family val="2"/>
          </rPr>
          <t>Please Note: 
If Closed option is chosen then the blades 
can be damaged if they are left open 
when Sliding the Panel.
Open is not an option for 3 Tracks.</t>
        </r>
      </text>
    </comment>
    <comment ref="Z12" authorId="0" shapeId="0" xr:uid="{98322985-A4DF-42EB-B257-1AD1031FEEA7}">
      <text>
        <r>
          <rPr>
            <sz val="8"/>
            <color indexed="81"/>
            <rFont val="Tahoma"/>
            <family val="2"/>
          </rPr>
          <t>If any T Posts are required then the measurements 
must be supplied under the next columns.
Measurements should be made from the left.</t>
        </r>
      </text>
    </comment>
    <comment ref="AD12" authorId="0" shapeId="0" xr:uid="{8A6DBF80-F10A-4F56-9CB3-86A4FABD3500}">
      <text>
        <r>
          <rPr>
            <sz val="8"/>
            <color indexed="81"/>
            <rFont val="Tahoma"/>
            <family val="2"/>
          </rPr>
          <t>This option is dependent on the 
Material.
For Fauxwood Eco Air the options are;
Standard
For Timber Eco
the options are;
50mm Beaded (Default)
50mm Flat
60mm Beaded
60mm Flat</t>
        </r>
      </text>
    </comment>
    <comment ref="C13" authorId="0" shapeId="0" xr:uid="{62487C63-0BAC-4CAC-B4BB-D58FBD8C8F90}">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13" authorId="0" shapeId="0" xr:uid="{568355B0-2FF7-4FCE-96A9-4F221F930081}">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13" authorId="0" shapeId="0" xr:uid="{021746F1-404F-4A57-B51F-1E7CA4C36815}">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13" authorId="0" shapeId="0" xr:uid="{9C3C08D5-44FF-474A-AE51-D86FF6511176}">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3" authorId="0" shapeId="0" xr:uid="{AFFA5503-AF8F-4CFC-BA0C-988C6A1C0148}">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13" authorId="0" shapeId="0" xr:uid="{7402A8D8-7751-4786-A42D-A397FDA7357C}">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13" authorId="0" shapeId="0" xr:uid="{855D7C4A-FEB6-42F8-A3DC-4BF9C1C5EDD2}">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13" authorId="0" shapeId="0" xr:uid="{F52735F8-F58B-4136-9C77-AB75BAED8206}">
      <text>
        <r>
          <rPr>
            <sz val="8"/>
            <color indexed="81"/>
            <rFont val="Tahoma"/>
            <family val="2"/>
          </rPr>
          <t>This calculated option is dependent on the 
Material and Frame type.
If a T Post is used the Panels could still be 
oversized/large depending 
on the configuration.</t>
        </r>
      </text>
    </comment>
    <comment ref="L13" authorId="0" shapeId="0" xr:uid="{4EDACF6E-A9C8-422A-9FC4-130447818452}">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13" authorId="0" shapeId="0" xr:uid="{5A7336A8-0DDB-4F65-A0DE-0CED6C4F4796}">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13" authorId="0" shapeId="0" xr:uid="{65C026FC-C56E-419A-A8E8-16BE5D027856}">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13" authorId="0" shapeId="0" xr:uid="{0CEDF038-6FBB-4C2B-A04B-EA062493455E}">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13" authorId="0" shapeId="0" xr:uid="{93D85AD3-F3D6-4DF1-9B4F-7D59C95094C3}">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13" authorId="0" shapeId="0" xr:uid="{847FB74F-66DD-45BD-894C-32D023594112}">
      <text>
        <r>
          <rPr>
            <sz val="8"/>
            <color indexed="81"/>
            <rFont val="Tahoma"/>
            <family val="2"/>
          </rPr>
          <t>Frame Type is dependent on
 Mounting Method.</t>
        </r>
      </text>
    </comment>
    <comment ref="W13" authorId="0" shapeId="0" xr:uid="{244C2621-FADA-499F-A998-28C86C5CF0F3}">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13" authorId="0" shapeId="0" xr:uid="{7AD20494-02CE-4C08-A491-A871A9D71DE9}">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13" authorId="0" shapeId="0" xr:uid="{83286C8C-E5D3-483D-80CC-D746FFDCBAB4}">
      <text>
        <r>
          <rPr>
            <sz val="8"/>
            <color indexed="81"/>
            <rFont val="Tahoma"/>
            <family val="2"/>
          </rPr>
          <t>Please Note: 
If Closed option is chosen then the blades 
can be damaged if they are left open 
when Sliding the Panel.
Open is not an option for 3 Tracks.</t>
        </r>
      </text>
    </comment>
    <comment ref="Z13" authorId="0" shapeId="0" xr:uid="{257EFBDF-7E2B-4375-8D00-9F96A4ED2358}">
      <text>
        <r>
          <rPr>
            <sz val="8"/>
            <color indexed="81"/>
            <rFont val="Tahoma"/>
            <family val="2"/>
          </rPr>
          <t>If any T Posts are required then the measurements 
must be supplied under the next columns.
Measurements should be made from the left.</t>
        </r>
      </text>
    </comment>
    <comment ref="AD13" authorId="0" shapeId="0" xr:uid="{EB3130DB-FEB6-4D11-8DCD-A786E4818E1A}">
      <text>
        <r>
          <rPr>
            <sz val="8"/>
            <color indexed="81"/>
            <rFont val="Tahoma"/>
            <family val="2"/>
          </rPr>
          <t>This option is dependent on the 
Material.
For Fauxwood Eco Air the options are;
Standard
For Timber Eco
the options are;
50mm Beaded (Default)
50mm Flat
60mm Beaded
60mm Flat</t>
        </r>
      </text>
    </comment>
    <comment ref="C14" authorId="0" shapeId="0" xr:uid="{19EBC001-2F18-4CB2-A785-1BBB2FF09D61}">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14" authorId="0" shapeId="0" xr:uid="{37BC9729-76D1-4747-94A8-A495772FC2F6}">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14" authorId="0" shapeId="0" xr:uid="{DE2587F4-3173-48D8-92E0-17EEF616F1A5}">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14" authorId="0" shapeId="0" xr:uid="{968C1448-851F-4643-B6AB-E8C7E52334FA}">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4" authorId="0" shapeId="0" xr:uid="{F9D4F0ED-183E-4607-AC4A-1D41C2120210}">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14" authorId="0" shapeId="0" xr:uid="{3F375AB0-05B4-4BDE-AE74-6AA30CC8DA5D}">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14" authorId="0" shapeId="0" xr:uid="{10143752-9570-4568-98CD-3D7AF9A53FEF}">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14" authorId="0" shapeId="0" xr:uid="{B70E15F5-61EF-4C05-B1EB-65ECA6058EBB}">
      <text>
        <r>
          <rPr>
            <sz val="8"/>
            <color indexed="81"/>
            <rFont val="Tahoma"/>
            <family val="2"/>
          </rPr>
          <t>This calculated option is dependent on the 
Material and Frame type.
If a T Post is used the Panels could still be 
oversized/large depending 
on the configuration.</t>
        </r>
      </text>
    </comment>
    <comment ref="L14" authorId="0" shapeId="0" xr:uid="{16D243C6-8F43-4FD0-AA39-25D34939F31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14" authorId="0" shapeId="0" xr:uid="{0A8EFB01-E689-4A5F-9FCF-ACACBC341EC4}">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14" authorId="0" shapeId="0" xr:uid="{5BDC847D-507B-4BA9-85CB-421A3DEBDE7E}">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14" authorId="0" shapeId="0" xr:uid="{F5F92F97-28CB-40FF-90A0-5698067D2636}">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14" authorId="0" shapeId="0" xr:uid="{94EF5022-EAD3-46E1-B64A-D6F33DA6333C}">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14" authorId="0" shapeId="0" xr:uid="{D54B99E8-7D03-4AA6-A1FF-0B484BD3C83D}">
      <text>
        <r>
          <rPr>
            <sz val="8"/>
            <color indexed="81"/>
            <rFont val="Tahoma"/>
            <family val="2"/>
          </rPr>
          <t>Frame Type is dependent on
 Mounting Method.</t>
        </r>
      </text>
    </comment>
    <comment ref="W14" authorId="0" shapeId="0" xr:uid="{C816A2B6-D4F0-4690-A92C-96A633A201E1}">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14" authorId="0" shapeId="0" xr:uid="{DD769FAC-9C3F-4461-B487-4488FCBCF475}">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14" authorId="0" shapeId="0" xr:uid="{FFD3CA7A-D331-4C40-AB00-482DF019E950}">
      <text>
        <r>
          <rPr>
            <sz val="8"/>
            <color indexed="81"/>
            <rFont val="Tahoma"/>
            <family val="2"/>
          </rPr>
          <t>Please Note: 
If Closed option is chosen then the blades 
can be damaged if they are left open 
when Sliding the Panel.
Open is not an option for 3 Tracks.</t>
        </r>
      </text>
    </comment>
    <comment ref="Z14" authorId="0" shapeId="0" xr:uid="{B57BF56D-F964-491D-AB00-B661B37608D4}">
      <text>
        <r>
          <rPr>
            <sz val="8"/>
            <color indexed="81"/>
            <rFont val="Tahoma"/>
            <family val="2"/>
          </rPr>
          <t>If any T Posts are required then the measurements 
must be supplied under the next columns.
Measurements should be made from the left.</t>
        </r>
      </text>
    </comment>
    <comment ref="AD14" authorId="0" shapeId="0" xr:uid="{B4986BDE-8E3B-4BC2-8BB2-B9D4E90060FD}">
      <text>
        <r>
          <rPr>
            <sz val="8"/>
            <color indexed="81"/>
            <rFont val="Tahoma"/>
            <family val="2"/>
          </rPr>
          <t>This option is dependent on the 
Material.
For Fauxwood Eco Air the options are;
Standard
For Timber Eco
the options are;
50mm Beaded (Default)
50mm Flat
60mm Beaded
60mm Flat</t>
        </r>
      </text>
    </comment>
    <comment ref="C15" authorId="0" shapeId="0" xr:uid="{7667A6FE-1542-4B9E-B578-54C3DD526757}">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15" authorId="0" shapeId="0" xr:uid="{22C5B24E-CDE1-4DE6-A825-3418C9C7B6F2}">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15" authorId="0" shapeId="0" xr:uid="{38B2F5AE-BD2A-48A9-8B9C-3FD65A40F886}">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15" authorId="0" shapeId="0" xr:uid="{0C57AD29-183F-4027-A2DA-52E24E067738}">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5" authorId="0" shapeId="0" xr:uid="{AC721AB7-962B-45DB-BDBF-972C4607C4C7}">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15" authorId="0" shapeId="0" xr:uid="{C3CA92DE-FD28-4651-99A7-3E802BCD04B9}">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15" authorId="0" shapeId="0" xr:uid="{4C2CE73C-300C-4046-88EC-34C3DA25F88F}">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15" authorId="0" shapeId="0" xr:uid="{14377A69-203B-474A-AD7D-A708E561AD6E}">
      <text>
        <r>
          <rPr>
            <sz val="8"/>
            <color indexed="81"/>
            <rFont val="Tahoma"/>
            <family val="2"/>
          </rPr>
          <t>This calculated option is dependent on the 
Material and Frame type.
If a T Post is used the Panels could still be 
oversized/large depending 
on the configuration.</t>
        </r>
      </text>
    </comment>
    <comment ref="L15" authorId="0" shapeId="0" xr:uid="{72D80E9F-6E60-4FCB-AF28-9273A5040614}">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15" authorId="0" shapeId="0" xr:uid="{86B221C4-20EC-4170-9C74-407A2961802E}">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15" authorId="0" shapeId="0" xr:uid="{CAC27E4B-0CDB-4BFE-80BD-D8AE6EB9DA9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15" authorId="0" shapeId="0" xr:uid="{BF26DFCD-24BF-4511-8317-AAABF46C0BE6}">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15" authorId="0" shapeId="0" xr:uid="{74444723-00C8-4401-826F-8FD7B81AC852}">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15" authorId="0" shapeId="0" xr:uid="{6A504909-EA4B-43C4-B100-C780F5772C12}">
      <text>
        <r>
          <rPr>
            <sz val="8"/>
            <color indexed="81"/>
            <rFont val="Tahoma"/>
            <family val="2"/>
          </rPr>
          <t>Frame Type is dependent on
 Mounting Method.</t>
        </r>
      </text>
    </comment>
    <comment ref="W15" authorId="0" shapeId="0" xr:uid="{BDDCEC77-CD03-428C-A055-92E8D67FCB2E}">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15" authorId="0" shapeId="0" xr:uid="{EAFFC021-B160-4911-B6B9-AB34150F490C}">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15" authorId="0" shapeId="0" xr:uid="{BF506768-86F6-4347-993E-5D48C1C533B7}">
      <text>
        <r>
          <rPr>
            <sz val="8"/>
            <color indexed="81"/>
            <rFont val="Tahoma"/>
            <family val="2"/>
          </rPr>
          <t>Please Note: 
If Closed option is chosen then the blades 
can be damaged if they are left open 
when Sliding the Panel.
Open is not an option for 3 Tracks.</t>
        </r>
      </text>
    </comment>
    <comment ref="Z15" authorId="0" shapeId="0" xr:uid="{0BEF39A4-4B0A-4222-8F56-55068843340C}">
      <text>
        <r>
          <rPr>
            <sz val="8"/>
            <color indexed="81"/>
            <rFont val="Tahoma"/>
            <family val="2"/>
          </rPr>
          <t>If any T Posts are required then the measurements 
must be supplied under the next columns.
Measurements should be made from the left.</t>
        </r>
      </text>
    </comment>
    <comment ref="AD15" authorId="0" shapeId="0" xr:uid="{18ECBF85-B371-4318-AF46-248EE1B1D5F8}">
      <text>
        <r>
          <rPr>
            <sz val="8"/>
            <color indexed="81"/>
            <rFont val="Tahoma"/>
            <family val="2"/>
          </rPr>
          <t>This option is dependent on the 
Material.
For Fauxwood Eco Air the options are;
Standard
For Timber Eco
the options are;
50mm Beaded (Default)
50mm Flat
60mm Beaded
60mm Flat</t>
        </r>
      </text>
    </comment>
    <comment ref="C16" authorId="0" shapeId="0" xr:uid="{30319113-DBC4-4760-8214-A449782B1BC7}">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16" authorId="0" shapeId="0" xr:uid="{D9D4D3D2-628D-4775-8969-1A71CEF493C6}">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16" authorId="0" shapeId="0" xr:uid="{CE097423-AEEF-404E-BAEB-509A2F4E0673}">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16" authorId="0" shapeId="0" xr:uid="{57146FD0-31E1-4C43-9580-FB09266D2AB3}">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6" authorId="0" shapeId="0" xr:uid="{C0B717C4-DF42-4AD7-AC84-BC7E6CB7F23B}">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16" authorId="0" shapeId="0" xr:uid="{342EEADC-969D-4394-9AEA-243E150C7265}">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16" authorId="0" shapeId="0" xr:uid="{44940867-E1E3-4DC1-8C94-86FA10AB00F3}">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16" authorId="0" shapeId="0" xr:uid="{004579B3-B7A0-416C-9063-CE1BA2FA6A38}">
      <text>
        <r>
          <rPr>
            <sz val="8"/>
            <color indexed="81"/>
            <rFont val="Tahoma"/>
            <family val="2"/>
          </rPr>
          <t>This calculated option is dependent on the 
Material and Frame type.
If a T Post is used the Panels could still be 
oversized/large depending 
on the configuration.</t>
        </r>
      </text>
    </comment>
    <comment ref="L16" authorId="0" shapeId="0" xr:uid="{45D07C6E-C9B9-4443-A0AF-F0C0334805EA}">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16" authorId="0" shapeId="0" xr:uid="{D7244939-3140-410C-B5D1-34F606178725}">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16" authorId="0" shapeId="0" xr:uid="{25CF57C9-1A95-4046-8AE6-8E925C168BA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16" authorId="0" shapeId="0" xr:uid="{5AF3BA98-7EE4-4B79-9287-B1D543F7E0A0}">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16" authorId="0" shapeId="0" xr:uid="{9C5857B3-E521-4121-B5D7-FEE7528F8A49}">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16" authorId="0" shapeId="0" xr:uid="{A05D543F-CDBA-41D5-9BD9-D156B52972F8}">
      <text>
        <r>
          <rPr>
            <sz val="8"/>
            <color indexed="81"/>
            <rFont val="Tahoma"/>
            <family val="2"/>
          </rPr>
          <t>Frame Type is dependent on
 Mounting Method.</t>
        </r>
      </text>
    </comment>
    <comment ref="W16" authorId="0" shapeId="0" xr:uid="{0AE2744E-DA0F-488B-83A6-74ECE29B1D32}">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16" authorId="0" shapeId="0" xr:uid="{D4A3456D-8121-4879-9D13-AB449384AB88}">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16" authorId="0" shapeId="0" xr:uid="{15690890-D76E-4617-BFE5-14FC012F4D5A}">
      <text>
        <r>
          <rPr>
            <sz val="8"/>
            <color indexed="81"/>
            <rFont val="Tahoma"/>
            <family val="2"/>
          </rPr>
          <t>Please Note: 
If Closed option is chosen then the blades 
can be damaged if they are left open 
when Sliding the Panel.
Open is not an option for 3 Tracks.</t>
        </r>
      </text>
    </comment>
    <comment ref="Z16" authorId="0" shapeId="0" xr:uid="{53133064-EDF1-41D8-9C64-1334D40C59F9}">
      <text>
        <r>
          <rPr>
            <sz val="8"/>
            <color indexed="81"/>
            <rFont val="Tahoma"/>
            <family val="2"/>
          </rPr>
          <t>If any T Posts are required then the measurements 
must be supplied under the next columns.
Measurements should be made from the left.</t>
        </r>
      </text>
    </comment>
    <comment ref="AD16" authorId="0" shapeId="0" xr:uid="{BA05C4D5-238A-4F61-B541-5F9C3D0B60D1}">
      <text>
        <r>
          <rPr>
            <sz val="8"/>
            <color indexed="81"/>
            <rFont val="Tahoma"/>
            <family val="2"/>
          </rPr>
          <t>This option is dependent on the 
Material.
For Fauxwood Eco Air the options are;
Standard
For Timber Eco
the options are;
50mm Beaded (Default)
50mm Flat
60mm Beaded
60mm Flat</t>
        </r>
      </text>
    </comment>
    <comment ref="C17" authorId="0" shapeId="0" xr:uid="{709AC32E-61DD-4231-97AE-D9BDBFC2BCB9}">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17" authorId="0" shapeId="0" xr:uid="{D1BB5B98-3196-425B-B74E-1E6B5AC19125}">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17" authorId="0" shapeId="0" xr:uid="{6E710BB8-8342-4514-8CD6-EF359D592465}">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17" authorId="0" shapeId="0" xr:uid="{0F21E466-D35E-4F01-8E94-BC96361C20C1}">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7" authorId="0" shapeId="0" xr:uid="{FB10FA23-EC3C-4FFD-A527-0B4F3FBFFB85}">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17" authorId="0" shapeId="0" xr:uid="{504A263E-10A9-42E7-91C3-74F1D3BC7EFA}">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17" authorId="0" shapeId="0" xr:uid="{16F79A6B-A459-4331-92C2-D107B8B201E4}">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17" authorId="0" shapeId="0" xr:uid="{CA55E74E-3B17-459F-87AA-42301EBD2968}">
      <text>
        <r>
          <rPr>
            <sz val="8"/>
            <color indexed="81"/>
            <rFont val="Tahoma"/>
            <family val="2"/>
          </rPr>
          <t>This calculated option is dependent on the 
Material and Frame type.
If a T Post is used the Panels could still be 
oversized/large depending 
on the configuration.</t>
        </r>
      </text>
    </comment>
    <comment ref="L17" authorId="0" shapeId="0" xr:uid="{463F2BAF-4E16-4013-A358-2BD975BD61DA}">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17" authorId="0" shapeId="0" xr:uid="{39ACDBE3-8705-466C-862E-45AC7787158E}">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17" authorId="0" shapeId="0" xr:uid="{E265A797-31D5-47BF-BCDB-647EEF0E68E4}">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17" authorId="0" shapeId="0" xr:uid="{7FD24D9B-912C-4688-8CB8-D9901990ADBD}">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17" authorId="0" shapeId="0" xr:uid="{6D05453A-824C-4629-9C7B-68CF69A17841}">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17" authorId="0" shapeId="0" xr:uid="{B3A01A9E-C893-4C43-960B-E4D86C1E55E8}">
      <text>
        <r>
          <rPr>
            <sz val="8"/>
            <color indexed="81"/>
            <rFont val="Tahoma"/>
            <family val="2"/>
          </rPr>
          <t>Frame Type is dependent on
 Mounting Method.</t>
        </r>
      </text>
    </comment>
    <comment ref="W17" authorId="0" shapeId="0" xr:uid="{7E2471D7-C3EC-4D1D-B1E1-2C08BA7FC64C}">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17" authorId="0" shapeId="0" xr:uid="{F440C28D-6680-4225-A77C-49D080EF1FF4}">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17" authorId="0" shapeId="0" xr:uid="{9AA8D233-7051-4566-8C27-84BB4B2D8800}">
      <text>
        <r>
          <rPr>
            <sz val="8"/>
            <color indexed="81"/>
            <rFont val="Tahoma"/>
            <family val="2"/>
          </rPr>
          <t>Please Note: 
If Closed option is chosen then the blades 
can be damaged if they are left open 
when Sliding the Panel.
Open is not an option for 3 Tracks.</t>
        </r>
      </text>
    </comment>
    <comment ref="Z17" authorId="0" shapeId="0" xr:uid="{C5B41D00-C7C4-41F4-AA1D-A57A195B70E3}">
      <text>
        <r>
          <rPr>
            <sz val="8"/>
            <color indexed="81"/>
            <rFont val="Tahoma"/>
            <family val="2"/>
          </rPr>
          <t>If any T Posts are required then the measurements 
must be supplied under the next columns.
Measurements should be made from the left.</t>
        </r>
      </text>
    </comment>
    <comment ref="AD17" authorId="0" shapeId="0" xr:uid="{F71430A1-3B48-4A28-890B-93F96EDC1AB4}">
      <text>
        <r>
          <rPr>
            <sz val="8"/>
            <color indexed="81"/>
            <rFont val="Tahoma"/>
            <family val="2"/>
          </rPr>
          <t>This option is dependent on the 
Material.
For Fauxwood Eco Air the options are;
Standard
For Timber Eco
the options are;
50mm Beaded (Default)
50mm Flat
60mm Beaded
60mm Flat</t>
        </r>
      </text>
    </comment>
    <comment ref="C18" authorId="0" shapeId="0" xr:uid="{588514A5-7FE6-4BB9-B7B8-DDD0F38405A0}">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18" authorId="0" shapeId="0" xr:uid="{C8BF3970-C673-45AA-BBEE-76900800BDCA}">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18" authorId="0" shapeId="0" xr:uid="{35FC2A24-4C43-4AFC-A112-A954CF2DCD81}">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18" authorId="0" shapeId="0" xr:uid="{2EB3AE96-5F5B-44D7-B4D6-27C22DED4A3F}">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8" authorId="0" shapeId="0" xr:uid="{B68DBAB4-45EB-4756-82EB-E556002074B2}">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18" authorId="0" shapeId="0" xr:uid="{F0709130-128B-4B77-B9ED-1B164FDAC36E}">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18" authorId="0" shapeId="0" xr:uid="{037E1685-ED1A-468C-9E43-001ABF1661EA}">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18" authorId="0" shapeId="0" xr:uid="{CFCE38A4-38D7-4A32-8BC4-E52A91703EC3}">
      <text>
        <r>
          <rPr>
            <sz val="8"/>
            <color indexed="81"/>
            <rFont val="Tahoma"/>
            <family val="2"/>
          </rPr>
          <t>This calculated option is dependent on the 
Material and Frame type.
If a T Post is used the Panels could still be 
oversized/large depending 
on the configuration.</t>
        </r>
      </text>
    </comment>
    <comment ref="L18" authorId="0" shapeId="0" xr:uid="{6879381E-4C26-4415-80D1-7F4E0469E431}">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18" authorId="0" shapeId="0" xr:uid="{EB9C027D-0EDC-4A34-A180-A64976A4D81A}">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18" authorId="0" shapeId="0" xr:uid="{6B6CF928-A076-4088-AFBB-800CAA0E6073}">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18" authorId="0" shapeId="0" xr:uid="{F5AA5950-E36C-4F35-89C8-8D5E9ADE7824}">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18" authorId="0" shapeId="0" xr:uid="{F479329E-AA96-4EA7-BE85-B909A7C65ED1}">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18" authorId="0" shapeId="0" xr:uid="{59987226-CAFA-4507-B352-08A31C101D0A}">
      <text>
        <r>
          <rPr>
            <sz val="8"/>
            <color indexed="81"/>
            <rFont val="Tahoma"/>
            <family val="2"/>
          </rPr>
          <t>Frame Type is dependent on
 Mounting Method.</t>
        </r>
      </text>
    </comment>
    <comment ref="W18" authorId="0" shapeId="0" xr:uid="{5BFE4A20-D22F-43AF-B0EC-42585B874728}">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18" authorId="0" shapeId="0" xr:uid="{C877A1A1-56F4-4CAF-8A46-C376881A5FD3}">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18" authorId="0" shapeId="0" xr:uid="{6071AACD-18E4-4597-B335-F48D2FA51BB4}">
      <text>
        <r>
          <rPr>
            <sz val="8"/>
            <color indexed="81"/>
            <rFont val="Tahoma"/>
            <family val="2"/>
          </rPr>
          <t>Please Note: 
If Closed option is chosen then the blades 
can be damaged if they are left open 
when Sliding the Panel.
Open is not an option for 3 Tracks.</t>
        </r>
      </text>
    </comment>
    <comment ref="Z18" authorId="0" shapeId="0" xr:uid="{1C0F53D9-5D2A-46CD-B001-C3F81D947232}">
      <text>
        <r>
          <rPr>
            <sz val="8"/>
            <color indexed="81"/>
            <rFont val="Tahoma"/>
            <family val="2"/>
          </rPr>
          <t>If any T Posts are required then the measurements 
must be supplied under the next columns.
Measurements should be made from the left.</t>
        </r>
      </text>
    </comment>
    <comment ref="AD18" authorId="0" shapeId="0" xr:uid="{63830084-9EAF-4C8C-B826-6D987FBE8915}">
      <text>
        <r>
          <rPr>
            <sz val="8"/>
            <color indexed="81"/>
            <rFont val="Tahoma"/>
            <family val="2"/>
          </rPr>
          <t>This option is dependent on the 
Material.
For Fauxwood Eco Air the options are;
Standard
For Timber Eco
the options are;
50mm Beaded (Default)
50mm Flat
60mm Beaded
60mm Flat</t>
        </r>
      </text>
    </comment>
    <comment ref="C19" authorId="0" shapeId="0" xr:uid="{52B93F1A-5823-4483-9D34-D993A7304645}">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19" authorId="0" shapeId="0" xr:uid="{2B7A6E4E-426B-4460-A093-9375EAC00D63}">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19" authorId="0" shapeId="0" xr:uid="{E8CB5644-563E-4D87-B505-33E633B88F4C}">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19" authorId="0" shapeId="0" xr:uid="{E718304E-9CD3-439E-A47C-4AC21A95F8EE}">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9" authorId="0" shapeId="0" xr:uid="{45146AB8-9825-4ADC-9497-3AABDBCF6E97}">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19" authorId="0" shapeId="0" xr:uid="{0D83AD97-1318-4C0D-B768-62910959CD5C}">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19" authorId="0" shapeId="0" xr:uid="{70B11CD4-855D-456E-86D8-529E5D199469}">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19" authorId="0" shapeId="0" xr:uid="{294814B6-A5EA-47DA-AD89-72381BB7C293}">
      <text>
        <r>
          <rPr>
            <sz val="8"/>
            <color indexed="81"/>
            <rFont val="Tahoma"/>
            <family val="2"/>
          </rPr>
          <t>This calculated option is dependent on the 
Material and Frame type.
If a T Post is used the Panels could still be 
oversized/large depending 
on the configuration.</t>
        </r>
      </text>
    </comment>
    <comment ref="L19" authorId="0" shapeId="0" xr:uid="{323BA33B-F541-4EEF-9749-82381725F7D8}">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19" authorId="0" shapeId="0" xr:uid="{AC0FEDAE-D7F7-418F-95EB-DF4E12F57084}">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19" authorId="0" shapeId="0" xr:uid="{1B6AA0DC-9BE0-43F6-80FF-939DFE915EF1}">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19" authorId="0" shapeId="0" xr:uid="{927593BE-C898-499D-9389-8B9B8B8CFCB4}">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19" authorId="0" shapeId="0" xr:uid="{A58CEB9C-4691-42A2-A913-126D1B696F93}">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19" authorId="0" shapeId="0" xr:uid="{27B3D4B7-2623-4742-B2AF-D426CB66B266}">
      <text>
        <r>
          <rPr>
            <sz val="8"/>
            <color indexed="81"/>
            <rFont val="Tahoma"/>
            <family val="2"/>
          </rPr>
          <t>Frame Type is dependent on
 Mounting Method.</t>
        </r>
      </text>
    </comment>
    <comment ref="W19" authorId="0" shapeId="0" xr:uid="{7B42E646-B7CF-49CC-9B94-37A3C3965730}">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19" authorId="0" shapeId="0" xr:uid="{3B4E7327-8B1C-4CF0-B019-9D7FFE5F75CA}">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19" authorId="0" shapeId="0" xr:uid="{F08A31E2-641A-44F5-A0A2-DB4C3E7FD4A9}">
      <text>
        <r>
          <rPr>
            <sz val="8"/>
            <color indexed="81"/>
            <rFont val="Tahoma"/>
            <family val="2"/>
          </rPr>
          <t>Please Note: 
If Closed option is chosen then the blades 
can be damaged if they are left open 
when Sliding the Panel.
Open is not an option for 3 Tracks.</t>
        </r>
      </text>
    </comment>
    <comment ref="Z19" authorId="0" shapeId="0" xr:uid="{456C9C8D-90FD-4B2F-AC23-2B82B4707416}">
      <text>
        <r>
          <rPr>
            <sz val="8"/>
            <color indexed="81"/>
            <rFont val="Tahoma"/>
            <family val="2"/>
          </rPr>
          <t>If any T Posts are required then the measurements 
must be supplied under the next columns.
Measurements should be made from the left.</t>
        </r>
      </text>
    </comment>
    <comment ref="AD19" authorId="0" shapeId="0" xr:uid="{86C94A63-21C3-4B38-8244-685DBE60B259}">
      <text>
        <r>
          <rPr>
            <sz val="8"/>
            <color indexed="81"/>
            <rFont val="Tahoma"/>
            <family val="2"/>
          </rPr>
          <t>This option is dependent on the 
Material.
For Fauxwood Eco Air the options are;
Standard
For Timber Eco
the options are;
50mm Beaded (Default)
50mm Flat
60mm Beaded
60mm Flat</t>
        </r>
      </text>
    </comment>
    <comment ref="C20" authorId="0" shapeId="0" xr:uid="{C4C09C89-4AA5-4B8A-833D-26E03F586F90}">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20" authorId="0" shapeId="0" xr:uid="{619B78AD-6115-4C98-ADFC-BAB0213EB746}">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20" authorId="0" shapeId="0" xr:uid="{68F722D5-39E4-4375-9C93-47E1D92872D8}">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20" authorId="0" shapeId="0" xr:uid="{E45F86B1-953E-4917-A64C-85AE7459876E}">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20" authorId="0" shapeId="0" xr:uid="{A0046BE8-DBD7-47D5-A4B4-9E498C2676DE}">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20" authorId="0" shapeId="0" xr:uid="{7EE12706-0B58-4CB1-AF66-EEC38FEC5945}">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20" authorId="0" shapeId="0" xr:uid="{22C62066-235C-4D43-A76C-3EBF9F56A515}">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20" authorId="0" shapeId="0" xr:uid="{F6454D9D-7CB7-4DD1-8FCB-FB21F6D4FAAD}">
      <text>
        <r>
          <rPr>
            <sz val="8"/>
            <color indexed="81"/>
            <rFont val="Tahoma"/>
            <family val="2"/>
          </rPr>
          <t>This calculated option is dependent on the 
Material and Frame type.
If a T Post is used the Panels could still be 
oversized/large depending 
on the configuration.</t>
        </r>
      </text>
    </comment>
    <comment ref="L20" authorId="0" shapeId="0" xr:uid="{A2603C25-CF81-46ED-8FAA-3F58011173A8}">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20" authorId="0" shapeId="0" xr:uid="{9172E0C9-7EDD-4D9F-8BAE-FFB08CEE9975}">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20" authorId="0" shapeId="0" xr:uid="{F6EE3043-235C-4BEC-8980-2C7F2BCA7567}">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20" authorId="0" shapeId="0" xr:uid="{1576F168-C839-4EDC-971F-D09F5B82D3CF}">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20" authorId="0" shapeId="0" xr:uid="{05780BC6-D83A-48F8-A35A-C36C2EFC0B1E}">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20" authorId="0" shapeId="0" xr:uid="{7CC8E7F8-6E6E-4007-89E6-AA170137A2FC}">
      <text>
        <r>
          <rPr>
            <sz val="8"/>
            <color indexed="81"/>
            <rFont val="Tahoma"/>
            <family val="2"/>
          </rPr>
          <t>Frame Type is dependent on
 Mounting Method.</t>
        </r>
      </text>
    </comment>
    <comment ref="W20" authorId="0" shapeId="0" xr:uid="{5B58A245-68B1-4367-B938-9B1823B66E0C}">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20" authorId="0" shapeId="0" xr:uid="{3FA137E7-7901-476F-BF3C-F8CCFE939F5F}">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20" authorId="0" shapeId="0" xr:uid="{FCB4D341-A380-4C7D-B3BD-C6A53ABB2FBC}">
      <text>
        <r>
          <rPr>
            <sz val="8"/>
            <color indexed="81"/>
            <rFont val="Tahoma"/>
            <family val="2"/>
          </rPr>
          <t>Please Note: 
If Closed option is chosen then the blades 
can be damaged if they are left open 
when Sliding the Panel.
Open is not an option for 3 Tracks.</t>
        </r>
      </text>
    </comment>
    <comment ref="Z20" authorId="0" shapeId="0" xr:uid="{98CDBBA4-7CCF-4EC8-8930-5EBA31337D90}">
      <text>
        <r>
          <rPr>
            <sz val="8"/>
            <color indexed="81"/>
            <rFont val="Tahoma"/>
            <family val="2"/>
          </rPr>
          <t>If any T Posts are required then the measurements 
must be supplied under the next columns.
Measurements should be made from the left.</t>
        </r>
      </text>
    </comment>
    <comment ref="AD20" authorId="0" shapeId="0" xr:uid="{552A244A-9F2C-4092-A6F2-B74872EED7C3}">
      <text>
        <r>
          <rPr>
            <sz val="8"/>
            <color indexed="81"/>
            <rFont val="Tahoma"/>
            <family val="2"/>
          </rPr>
          <t>This option is dependent on the 
Material.
For Fauxwood Eco Air the options are;
Standard
For Timber Eco
the options are;
50mm Beaded (Default)
50mm Flat
60mm Beaded
60mm Flat</t>
        </r>
      </text>
    </comment>
    <comment ref="C21" authorId="0" shapeId="0" xr:uid="{DC34F24A-DD5A-497F-B6D0-71A5AD14169E}">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21" authorId="0" shapeId="0" xr:uid="{635B0398-BEE7-4F3B-AD42-157C97D9D5BD}">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21" authorId="0" shapeId="0" xr:uid="{C2F6274A-FF11-47F0-80C3-C4D9653FB12C}">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21" authorId="0" shapeId="0" xr:uid="{A76DA0D4-FAED-4187-B1FC-A5A776E25932}">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21" authorId="0" shapeId="0" xr:uid="{66A4CA4D-3B70-46A8-8501-3158E15FE26A}">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21" authorId="0" shapeId="0" xr:uid="{20E712E8-B19D-42ED-AF72-78A95507D152}">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21" authorId="0" shapeId="0" xr:uid="{C7309416-B793-40CC-BC42-0FF08F6CE95E}">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21" authorId="0" shapeId="0" xr:uid="{26DEDA32-C02F-4943-BBFA-CC224790ED68}">
      <text>
        <r>
          <rPr>
            <sz val="8"/>
            <color indexed="81"/>
            <rFont val="Tahoma"/>
            <family val="2"/>
          </rPr>
          <t>This calculated option is dependent on the 
Material and Frame type.
If a T Post is used the Panels could still be 
oversized/large depending 
on the configuration.</t>
        </r>
      </text>
    </comment>
    <comment ref="L21" authorId="0" shapeId="0" xr:uid="{9BCE4AD0-57A8-4FA1-8508-E6372F53B7A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21" authorId="0" shapeId="0" xr:uid="{0753444F-0CDC-43A1-A07C-27132D82EC43}">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21" authorId="0" shapeId="0" xr:uid="{3EBC32E2-220B-44FF-A9C0-728D1C9945CC}">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21" authorId="0" shapeId="0" xr:uid="{B6DEF5CC-7226-4082-8924-D9D2B792A4C6}">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21" authorId="0" shapeId="0" xr:uid="{9D70D57B-AA84-4520-8830-EBEBF97537DA}">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21" authorId="0" shapeId="0" xr:uid="{DABF3FB5-A8EA-4516-B3B9-AA85650B284B}">
      <text>
        <r>
          <rPr>
            <sz val="8"/>
            <color indexed="81"/>
            <rFont val="Tahoma"/>
            <family val="2"/>
          </rPr>
          <t>Frame Type is dependent on
 Mounting Method.</t>
        </r>
      </text>
    </comment>
    <comment ref="W21" authorId="0" shapeId="0" xr:uid="{08F8ECA4-2493-4267-AFFD-1B88A73A42AE}">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21" authorId="0" shapeId="0" xr:uid="{3E134456-151C-4AA7-8493-8F5F0CC70ECC}">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21" authorId="0" shapeId="0" xr:uid="{2B702F94-0E61-40B3-9780-E3D722D35798}">
      <text>
        <r>
          <rPr>
            <sz val="8"/>
            <color indexed="81"/>
            <rFont val="Tahoma"/>
            <family val="2"/>
          </rPr>
          <t>Please Note: 
If Closed option is chosen then the blades 
can be damaged if they are left open 
when Sliding the Panel.
Open is not an option for 3 Tracks.</t>
        </r>
      </text>
    </comment>
    <comment ref="Z21" authorId="0" shapeId="0" xr:uid="{6164448F-96E8-42E8-BB77-28BD45ED59EE}">
      <text>
        <r>
          <rPr>
            <sz val="8"/>
            <color indexed="81"/>
            <rFont val="Tahoma"/>
            <family val="2"/>
          </rPr>
          <t>If any T Posts are required then the measurements 
must be supplied under the next columns.
Measurements should be made from the left.</t>
        </r>
      </text>
    </comment>
    <comment ref="AD21" authorId="0" shapeId="0" xr:uid="{5AC29ED4-D1B4-4DBC-A533-8203FFE53BE0}">
      <text>
        <r>
          <rPr>
            <sz val="8"/>
            <color indexed="81"/>
            <rFont val="Tahoma"/>
            <family val="2"/>
          </rPr>
          <t>This option is dependent on the 
Material.
For Fauxwood Eco Air the options are;
Standard
For Timber Eco
the options are;
50mm Beaded (Default)
50mm Flat
60mm Beaded
60mm Flat</t>
        </r>
      </text>
    </comment>
    <comment ref="C22" authorId="0" shapeId="0" xr:uid="{3A981127-A3A2-490B-93B9-B49AB667B698}">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22" authorId="0" shapeId="0" xr:uid="{EED76AED-A027-4B7E-B571-51CDD28D92E5}">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22" authorId="0" shapeId="0" xr:uid="{309EF54B-0A4B-4433-8445-BB906F08C753}">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22" authorId="0" shapeId="0" xr:uid="{E2CF94AC-3097-4D98-A23C-52AD29D23B81}">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22" authorId="0" shapeId="0" xr:uid="{6D30AECD-3728-4DDA-BB68-1D5AD05D0278}">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22" authorId="0" shapeId="0" xr:uid="{1F4DA5B8-5318-4FA7-957E-7311BA5F025F}">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22" authorId="0" shapeId="0" xr:uid="{FD6F2517-4DF6-4DC7-9A55-C7B2CDED91CF}">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22" authorId="0" shapeId="0" xr:uid="{7EC748EC-E41A-44B0-8279-67A95244A837}">
      <text>
        <r>
          <rPr>
            <sz val="8"/>
            <color indexed="81"/>
            <rFont val="Tahoma"/>
            <family val="2"/>
          </rPr>
          <t>This calculated option is dependent on the 
Material and Frame type.
If a T Post is used the Panels could still be 
oversized/large depending 
on the configuration.</t>
        </r>
      </text>
    </comment>
    <comment ref="L22" authorId="0" shapeId="0" xr:uid="{DA67495D-72C8-4A7D-B4F1-73E6871A79C8}">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22" authorId="0" shapeId="0" xr:uid="{61C74F41-0B79-4451-B3F6-7F6DCD0BC7F9}">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22" authorId="0" shapeId="0" xr:uid="{F594BBCE-8F08-4884-953D-62D2A354A98C}">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22" authorId="0" shapeId="0" xr:uid="{502FF189-A7BD-48E3-929D-4E92B00D3058}">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22" authorId="0" shapeId="0" xr:uid="{4C481B59-05C7-4E30-A0CD-9EB6A3D5FBAB}">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22" authorId="0" shapeId="0" xr:uid="{D22579AD-BE42-4893-89B9-F254ACCF8C0A}">
      <text>
        <r>
          <rPr>
            <sz val="8"/>
            <color indexed="81"/>
            <rFont val="Tahoma"/>
            <family val="2"/>
          </rPr>
          <t>Frame Type is dependent on
 Mounting Method.</t>
        </r>
      </text>
    </comment>
    <comment ref="W22" authorId="0" shapeId="0" xr:uid="{28634992-546F-4174-82C5-5E4BB75ACE8E}">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22" authorId="0" shapeId="0" xr:uid="{A0BBC15C-79F1-446E-A49C-284259F2526C}">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22" authorId="0" shapeId="0" xr:uid="{54E6465C-1080-4F3C-8EF7-C2D2758AFF71}">
      <text>
        <r>
          <rPr>
            <sz val="8"/>
            <color indexed="81"/>
            <rFont val="Tahoma"/>
            <family val="2"/>
          </rPr>
          <t>Please Note: 
If Closed option is chosen then the blades 
can be damaged if they are left open 
when Sliding the Panel.
Open is not an option for 3 Tracks.</t>
        </r>
      </text>
    </comment>
    <comment ref="Z22" authorId="0" shapeId="0" xr:uid="{764A084A-8165-4ADC-8C9D-90C575EA1822}">
      <text>
        <r>
          <rPr>
            <sz val="8"/>
            <color indexed="81"/>
            <rFont val="Tahoma"/>
            <family val="2"/>
          </rPr>
          <t>If any T Posts are required then the measurements 
must be supplied under the next columns.
Measurements should be made from the left.</t>
        </r>
      </text>
    </comment>
    <comment ref="AD22" authorId="0" shapeId="0" xr:uid="{426BCFF6-60F9-4923-9DB3-AFD86C061EE9}">
      <text>
        <r>
          <rPr>
            <sz val="8"/>
            <color indexed="81"/>
            <rFont val="Tahoma"/>
            <family val="2"/>
          </rPr>
          <t>This option is dependent on the 
Material.
For Fauxwood Eco Air the options are;
Standard
For Timber Eco
the options are;
50mm Beaded (Default)
50mm Flat
60mm Beaded
60mm Flat</t>
        </r>
      </text>
    </comment>
    <comment ref="C23" authorId="0" shapeId="0" xr:uid="{E9814D94-B133-4E42-81F9-A49006188AB0}">
      <text>
        <r>
          <rPr>
            <sz val="8"/>
            <color indexed="81"/>
            <rFont val="Tahoma"/>
            <family val="2"/>
          </rPr>
          <t xml:space="preserve">Minimum Fauxwood Eco Air Width is 180mm.
Minimum Timber Eco Width is 250mm.
Maximum Fauxwood Eco Air Width is 900mm.
Maximum Timber Eco Width is 950mm.
</t>
        </r>
        <r>
          <rPr>
            <i/>
            <sz val="8"/>
            <color indexed="81"/>
            <rFont val="Tahoma"/>
            <family val="2"/>
          </rPr>
          <t xml:space="preserve">
Please note: Larger Panels may sometimes 
require lifting in to the frame.</t>
        </r>
      </text>
    </comment>
    <comment ref="D23" authorId="0" shapeId="0" xr:uid="{14C05B30-AE18-4D44-A391-D3EF74CF13B8}">
      <text>
        <r>
          <rPr>
            <sz val="8"/>
            <color indexed="81"/>
            <rFont val="Tahoma"/>
            <family val="2"/>
          </rPr>
          <t xml:space="preserve">Minimum Fauxwood Eco Air Height is 260mm.
Minimum Timber Eco Height is 350mm.
Maximum Fauxwood Eco Air Height is 2600mm.
Maximum Timber Eco Height is 3000mm.
</t>
        </r>
        <r>
          <rPr>
            <i/>
            <sz val="8"/>
            <color indexed="81"/>
            <rFont val="Tahoma"/>
            <family val="2"/>
          </rPr>
          <t xml:space="preserve">
Please note: Larger Panels may sometimes 
require lifting in to the frame.</t>
        </r>
      </text>
    </comment>
    <comment ref="E23" authorId="0" shapeId="0" xr:uid="{5A71B2DD-DC6D-42EF-9B82-0D575EB9614B}">
      <text>
        <r>
          <rPr>
            <sz val="8"/>
            <color indexed="81"/>
            <rFont val="Tahoma"/>
            <family val="2"/>
          </rPr>
          <t xml:space="preserve">In - Inside or Reveal Fit
Out - Outside or Face Fit
Alternative Option:
MS - Make Size
Panel Only Option
</t>
        </r>
        <r>
          <rPr>
            <i/>
            <sz val="8"/>
            <color indexed="81"/>
            <rFont val="Tahoma"/>
            <family val="2"/>
          </rPr>
          <t xml:space="preserve">(Used for specific requirements only)
</t>
        </r>
        <r>
          <rPr>
            <sz val="8"/>
            <color indexed="81"/>
            <rFont val="Tahoma"/>
            <family val="2"/>
          </rPr>
          <t>MS is only available in Timber Eco.</t>
        </r>
      </text>
    </comment>
    <comment ref="F23" authorId="0" shapeId="0" xr:uid="{C2804F5D-78D2-4A1C-8E22-2B0FB019AB6D}">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23" authorId="0" shapeId="0" xr:uid="{31DBF01D-F13E-449E-A96F-384D736ECC21}">
      <text>
        <r>
          <rPr>
            <sz val="8"/>
            <color indexed="81"/>
            <rFont val="Tahoma"/>
            <family val="2"/>
          </rPr>
          <t>Selecting the Material &amp; Product 
first will then enable the available Colour options.
Timber Eco will be made with the 
standard stepped/square profile 
Bottom Rail,  Mid Rail &amp; Top Rail.
Fauxwood Eco Air will be made with the 
dual closure profile 
Bottom Rail,  Mid Rail &amp; Top Rail.</t>
        </r>
      </text>
    </comment>
    <comment ref="H23" authorId="0" shapeId="0" xr:uid="{3C7C27A7-AA72-4503-BA26-3008FFD49DC6}">
      <text>
        <r>
          <rPr>
            <sz val="8"/>
            <color indexed="81"/>
            <rFont val="Tahoma"/>
            <family val="2"/>
          </rPr>
          <t>Colour can only be selected once the 
Material &amp; Product type has been selected.
The Stained Shutters Colours are;
Black Walnut (W920)
Cedar Image Medium (W868)
Maple (W893)
Riva (W200)
Walnut (W891)
The Laminated Shutters Colours are;
Barca Walnut
Royal Walnut
Colombia Walnut
Shadow Chasing Walnut</t>
        </r>
      </text>
    </comment>
    <comment ref="J23" authorId="0" shapeId="0" xr:uid="{012FD557-B317-4F67-BA99-B392DEDA2613}">
      <text>
        <r>
          <rPr>
            <sz val="8"/>
            <color indexed="81"/>
            <rFont val="Tahoma"/>
            <family val="2"/>
          </rPr>
          <t>63mm Blade sizes are available in;
Timber Eco
89mm Blade sizes are available in;
Fauxwood Eco Air
Timber Eco
114mm Blade sizes are  
available in Timber Eco.
Timber Eco Laminated Blades 
are only available in 89mm.</t>
        </r>
      </text>
    </comment>
    <comment ref="K23" authorId="0" shapeId="0" xr:uid="{B301E101-A322-4919-9AFB-775CDD9CC8DA}">
      <text>
        <r>
          <rPr>
            <sz val="8"/>
            <color indexed="81"/>
            <rFont val="Tahoma"/>
            <family val="2"/>
          </rPr>
          <t>This calculated option is dependent on the 
Material and Frame type.
If a T Post is used the Panels could still be 
oversized/large depending 
on the configuration.</t>
        </r>
      </text>
    </comment>
    <comment ref="L23" authorId="0" shapeId="0" xr:uid="{0E356411-8AB6-4DB3-BD39-9A7BCD402E16}">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Mid Rail May Be Up To 40mm Higher/Lower, Unless "Critical Mid Rail"
Timber Eco will be made with the 
standard stepped/square profile 
Bottom Rail,  Mid Rail &amp; Top Rail.
Fauxwood Eco Air will be made with the 
dual closure profile 
Bottom Rail,  Mid Rail &amp; Top Rail.</t>
        </r>
      </text>
    </comment>
    <comment ref="M23" authorId="0" shapeId="0" xr:uid="{47F7430E-B2D1-4A45-93B6-2CD2DE13CF8B}">
      <text>
        <r>
          <rPr>
            <sz val="8"/>
            <color indexed="81"/>
            <rFont val="Tahoma"/>
            <family val="2"/>
          </rPr>
          <t>The Window Type 
options are;
Fauxwood Eco Air;
Standard
Timber Eco;
Standard
Bay Window
Corner Window
Door Cut Out
French Door
Shaped Arch
Shaped Hexagon
Shaped Octagon
Shaped Parallelogram
Shaped Raked
Shaped Round
Shaped Sunburst
Shaped Triangle
Timber Eco Laminated;
Standard
Bay Window
Corner Window
Door Cut Out
French Door
Shaped Hexagon
Shaped Octagon
Shaped Parallelogram
Shaped Raked
Shaped Triangle</t>
        </r>
      </text>
    </comment>
    <comment ref="N23" authorId="0" shapeId="0" xr:uid="{8ADB142C-C970-4CBB-8773-F76182E94087}">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
For Fauxwood Eco Air the options are;
Hinged</t>
        </r>
      </text>
    </comment>
    <comment ref="O23" authorId="0" shapeId="0" xr:uid="{0AB62EC1-9AD2-44B3-82EA-4AB15058F23A}">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P23" authorId="0" shapeId="0" xr:uid="{BED68E38-B107-47C8-9AF1-60099F174D32}">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
For Fauxwood Eco Air, a D Mould is required on two or more Panels 
when they are ordered within the same opening, 
and close against each other.</t>
        </r>
      </text>
    </comment>
    <comment ref="Q23" authorId="0" shapeId="0" xr:uid="{B988BA8A-C93B-44E4-9BB3-DAC3734DD9E4}">
      <text>
        <r>
          <rPr>
            <sz val="8"/>
            <color indexed="81"/>
            <rFont val="Tahoma"/>
            <family val="2"/>
          </rPr>
          <t>Frame Type is dependent on
 Mounting Method.</t>
        </r>
      </text>
    </comment>
    <comment ref="W23" authorId="0" shapeId="0" xr:uid="{F164E1FF-A217-4292-909C-F282478F6AF4}">
      <text>
        <r>
          <rPr>
            <sz val="8"/>
            <color indexed="81"/>
            <rFont val="Tahoma"/>
            <family val="2"/>
          </rPr>
          <t>This option is dependent on the 
Material, Colour and Blade type 
and will only be available once these 
options are selected.
For Fauxwood Eco Air
89mm Blades the options are;
Hidden
For Timber Eco
63mm or 89mm Blades the options are;
Hidden
Centre
Off-Set
Rack &amp; Pinion
For Timber Eco
Laminated Shutters 89mm Blades 
the options are;
Hidden
For Timber Eco
114mm Blades the options are;
Hidden
Centre
Off-Set</t>
        </r>
      </text>
    </comment>
    <comment ref="X23" authorId="0" shapeId="0" xr:uid="{831DC70D-B03A-4840-A5CA-5ED26F8F4D28}">
      <text>
        <r>
          <rPr>
            <sz val="8"/>
            <color indexed="81"/>
            <rFont val="Tahoma"/>
            <family val="2"/>
          </rPr>
          <t xml:space="preserve">When Default or no Colour is selected, the Hinges will be supplied 
as per the default matching Hinge Colour list below;
Shutter Colour - Hinge Colour
Antique White (W140) - Antique White
Black Walnut (W920) - Black
Eggshell (W405) - Eggshell
Grey (W030) - Grey
Jasper (W498) - Jasper
Light Grey (W032) - Light Grey
Pure White (W190) - Pure White
Slate (W057) - Slate
White (W105) - White
Bright White - Bright White
Classic White - White
Snow White - Snow White
Super White - Snow White
Vanilla - Ivory
Ceylon - Ceylon
Earl Grey - Earl Grey
French White - French White
Infinite White - Infinite White
Polar White - Polar White
Quiet White - Quiet White
Snow Gum Grey - Snow Gum Grey
Snowy Mountains White - Snowy Mountains White
Barca Walnut - Barca Walnut
Royal Walnut - Royal Walnut  
Colombia Walnut - Colombia Walnut
Shadow Chasing Walnut - Shadow Chasing Walnut
These Timber Stained Colours require the Hinge Colour 
to be selected;
Cedar Image Medium (W868)
Maple (W893)
Riva (W200)
Walnut (W891)
For standard Shutters in Timber Eco, Standard 77mm Hinges 
will be used.
For standard Shutters in Fauxwood Eco Air 
Standard 77mm Hinges will be used.
Hinge options are dependent on the Product, Colour, 
Mounting Method &amp; Frame Type.
Stainless Steel Surcharge applies.
</t>
        </r>
        <r>
          <rPr>
            <i/>
            <sz val="8"/>
            <color indexed="81"/>
            <rFont val="Tahoma"/>
            <family val="2"/>
          </rPr>
          <t xml:space="preserve">
Please refer to the Shutter Manual. </t>
        </r>
      </text>
    </comment>
    <comment ref="Y23" authorId="0" shapeId="0" xr:uid="{15CCD8A9-E175-491D-8B8C-D34F2C405234}">
      <text>
        <r>
          <rPr>
            <sz val="8"/>
            <color indexed="81"/>
            <rFont val="Tahoma"/>
            <family val="2"/>
          </rPr>
          <t>Please Note: 
If Closed option is chosen then the blades 
can be damaged if they are left open 
when Sliding the Panel.
Open is not an option for 3 Tracks.</t>
        </r>
      </text>
    </comment>
    <comment ref="Z23" authorId="0" shapeId="0" xr:uid="{0B2199FF-4BF2-48C2-997C-1078FA4293F5}">
      <text>
        <r>
          <rPr>
            <sz val="8"/>
            <color indexed="81"/>
            <rFont val="Tahoma"/>
            <family val="2"/>
          </rPr>
          <t>If any T Posts are required then the measurements 
must be supplied under the next columns.
Measurements should be made from the left.</t>
        </r>
      </text>
    </comment>
    <comment ref="AD23" authorId="0" shapeId="0" xr:uid="{10A2DD3D-B76C-4538-A99A-EEA36E96D643}">
      <text>
        <r>
          <rPr>
            <sz val="8"/>
            <color indexed="81"/>
            <rFont val="Tahoma"/>
            <family val="2"/>
          </rPr>
          <t>This option is dependent on the 
Material.
For Fauxwood Eco Air the options are;
Standard
For Timber Eco
the options are;
50mm Beaded (Default)
50mm Flat
60mm Beaded
60mm Flat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E25" authorId="0" shapeId="0" xr:uid="{00000000-0006-0000-0B00-000001000000}">
      <text>
        <r>
          <rPr>
            <sz val="8"/>
            <color indexed="81"/>
            <rFont val="Tahoma"/>
            <family val="2"/>
          </rPr>
          <t>ACT 
Actual Measurements
You have made the allowances.
NAM
No Allowances Made 
The factory will make the deductions.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D25" authorId="0" shapeId="0" xr:uid="{00000000-0006-0000-0C00-000001000000}">
      <text>
        <r>
          <rPr>
            <sz val="8"/>
            <color indexed="81"/>
            <rFont val="Tahoma"/>
            <family val="2"/>
          </rPr>
          <t>ACT 
Actual Measurements
You have made the allowances.
NAM
No Allowances Made 
The factory will make the deductions.</t>
        </r>
      </text>
    </comment>
    <comment ref="E25" authorId="0" shapeId="0" xr:uid="{00000000-0006-0000-0C00-000002000000}">
      <text>
        <r>
          <rPr>
            <sz val="8"/>
            <color indexed="81"/>
            <rFont val="Tahoma"/>
            <family val="2"/>
          </rPr>
          <t>Has the Window been measured from the Front or Back.</t>
        </r>
      </text>
    </comment>
    <comment ref="F25" authorId="0" shapeId="0" xr:uid="{00000000-0006-0000-0C00-000003000000}">
      <text>
        <r>
          <rPr>
            <sz val="8"/>
            <color indexed="81"/>
            <rFont val="Tahoma"/>
            <family val="2"/>
          </rPr>
          <t>Enter the Angle 
of the Blind.</t>
        </r>
      </text>
    </comment>
  </commentList>
</comments>
</file>

<file path=xl/sharedStrings.xml><?xml version="1.0" encoding="utf-8"?>
<sst xmlns="http://schemas.openxmlformats.org/spreadsheetml/2006/main" count="5798" uniqueCount="2068">
  <si>
    <t>STORE NAME:</t>
  </si>
  <si>
    <t>ACCOUNT NAME:</t>
  </si>
  <si>
    <t>Order Width</t>
  </si>
  <si>
    <t>Order Height</t>
  </si>
  <si>
    <t>Cut Out Height Left</t>
  </si>
  <si>
    <t>Cut Out Width Left</t>
  </si>
  <si>
    <t>Cut Out Height Right</t>
  </si>
  <si>
    <t>Cut Out Width Right</t>
  </si>
  <si>
    <t>Common Fascia Width</t>
  </si>
  <si>
    <t>Fittings</t>
  </si>
  <si>
    <t>Cord Lock</t>
  </si>
  <si>
    <t>Hold Downs</t>
  </si>
  <si>
    <t>Tilt</t>
  </si>
  <si>
    <t>Allowance</t>
  </si>
  <si>
    <t>Window Type</t>
  </si>
  <si>
    <t>Cut Out</t>
  </si>
  <si>
    <t>Fascia</t>
  </si>
  <si>
    <t>50mm Timber/Jarrah Blinds</t>
  </si>
  <si>
    <t>Timberwood Standard</t>
  </si>
  <si>
    <t>Eggshell (W-405)</t>
  </si>
  <si>
    <t>Recess Fit</t>
  </si>
  <si>
    <t>Left</t>
  </si>
  <si>
    <t>Yes</t>
  </si>
  <si>
    <t>NAM</t>
  </si>
  <si>
    <t>Straight</t>
  </si>
  <si>
    <t>None</t>
  </si>
  <si>
    <t>Standard</t>
  </si>
  <si>
    <t>Face Fit</t>
  </si>
  <si>
    <t>Right</t>
  </si>
  <si>
    <t>ACT</t>
  </si>
  <si>
    <t>White Gloss (A120)</t>
  </si>
  <si>
    <t>50mm PS Foam Blinds</t>
  </si>
  <si>
    <t>STYLE36</t>
  </si>
  <si>
    <t>STYLE36_LK</t>
  </si>
  <si>
    <t>COLOR36</t>
  </si>
  <si>
    <t>ORDERVAR36</t>
  </si>
  <si>
    <t>OPTIONGROUP36</t>
  </si>
  <si>
    <t>OPTIONGROUP36_LK</t>
  </si>
  <si>
    <t>Faux Wood Standard</t>
  </si>
  <si>
    <t>CAT_STYLE_36_8000</t>
  </si>
  <si>
    <t>Alabaster (A441)</t>
  </si>
  <si>
    <t>CAT_GROUP_35_2237</t>
  </si>
  <si>
    <t>STYLE37</t>
  </si>
  <si>
    <t>STYLE37_LK</t>
  </si>
  <si>
    <t>COLOR37</t>
  </si>
  <si>
    <t>ORDERVAR37</t>
  </si>
  <si>
    <t>OPTIONGROUP37</t>
  </si>
  <si>
    <t>OPTIONGROUP37_LK</t>
  </si>
  <si>
    <t>CAT_STYLE_37_8100</t>
  </si>
  <si>
    <t>Malt (A446)</t>
  </si>
  <si>
    <t>CAT_GROUP_35_2238</t>
  </si>
  <si>
    <t xml:space="preserve">63mm PS Blinds </t>
  </si>
  <si>
    <t>STYLE38</t>
  </si>
  <si>
    <t>STYLE38_LK</t>
  </si>
  <si>
    <t>COLOR38</t>
  </si>
  <si>
    <t>ORDERVAR38</t>
  </si>
  <si>
    <t>OPTIONGROUP38</t>
  </si>
  <si>
    <t>OPTIONGROUP38_LK</t>
  </si>
  <si>
    <t>CAT_STYLE_38_8000</t>
  </si>
  <si>
    <t>Pitch Black(A955)</t>
  </si>
  <si>
    <t>CAT_GROUP_35_2236</t>
  </si>
  <si>
    <t>Taos (A611)</t>
  </si>
  <si>
    <t>CAT_GROUP_35_2295</t>
  </si>
  <si>
    <t>Aluminum (A964)</t>
  </si>
  <si>
    <t>CAT_GROUP_35_2297</t>
  </si>
  <si>
    <t>Arctic Snow Embossed (PS103)</t>
  </si>
  <si>
    <t>CAT_GROUP_35_2317</t>
  </si>
  <si>
    <t>Ivory Embossed (PS207)</t>
  </si>
  <si>
    <t>CAT_GROUP_36_2277</t>
  </si>
  <si>
    <t>No</t>
  </si>
  <si>
    <t>Siena(PT06-350PS)</t>
  </si>
  <si>
    <t>CAT_GROUP_36_2278</t>
  </si>
  <si>
    <t>Desert(PT-06-02PS)</t>
  </si>
  <si>
    <t>CAT_GROUP_36_2280</t>
  </si>
  <si>
    <t>White (W-105)</t>
  </si>
  <si>
    <t>CAT_GROUP_36_2281</t>
  </si>
  <si>
    <t>Chestnut(PT-06-838)</t>
  </si>
  <si>
    <t>CAT_GROUP_36_2294</t>
  </si>
  <si>
    <t>Corner Butt</t>
  </si>
  <si>
    <t>CAT_GROUP_36_2299</t>
  </si>
  <si>
    <t>Corner Thru</t>
  </si>
  <si>
    <t>Cedar Image Medium (PT-03-2)</t>
  </si>
  <si>
    <t>CAT_GROUP_36_2315</t>
  </si>
  <si>
    <t>Bay A</t>
  </si>
  <si>
    <t>Cedar Image Dark (PT-03-3)</t>
  </si>
  <si>
    <t>CAT_GROUP_36_2313</t>
  </si>
  <si>
    <t>Bay B</t>
  </si>
  <si>
    <t>Gold (PT-06-1)</t>
  </si>
  <si>
    <t>CAT_GROUP_37_2290</t>
  </si>
  <si>
    <t>Bay C</t>
  </si>
  <si>
    <t>Cherry (PT-06-2)</t>
  </si>
  <si>
    <t>CAT_GROUP_37_2291</t>
  </si>
  <si>
    <t>Chocolate (PT-06-346)</t>
  </si>
  <si>
    <t>CAT_GROUP_37_2292</t>
  </si>
  <si>
    <t>Beech (PT-06-336)</t>
  </si>
  <si>
    <t>CAT_GROUP_37_2293</t>
  </si>
  <si>
    <t>Both</t>
  </si>
  <si>
    <t>Sugar Maple (PT-06-337)</t>
  </si>
  <si>
    <t>CAT_GROUP_37_2296</t>
  </si>
  <si>
    <t>Arctic Snow Plain (PS103-P)</t>
  </si>
  <si>
    <t>CAT_GROUP_37_2298</t>
  </si>
  <si>
    <t>Ivory Plain (PS207-P)</t>
  </si>
  <si>
    <t>CAT_GROUP_37_2316</t>
  </si>
  <si>
    <t>Sienna Plain Print(PT06-350PS)</t>
  </si>
  <si>
    <t>CAT_GROUP_37_2312</t>
  </si>
  <si>
    <t>CAT_GROUP_38_2300</t>
  </si>
  <si>
    <t>CAT_GROUP_38_2301</t>
  </si>
  <si>
    <t>CAT_GROUP_38_2302</t>
  </si>
  <si>
    <t>CAT_GROUP_38_2303</t>
  </si>
  <si>
    <t>CAT_GROUP_38_2304</t>
  </si>
  <si>
    <t>CAT_GROUP_38_2305</t>
  </si>
  <si>
    <t>CAT_GROUP_38_2314</t>
  </si>
  <si>
    <t>CAT_GROUP_38_2311</t>
  </si>
  <si>
    <t>Common</t>
  </si>
  <si>
    <t>Yellow White (A126)</t>
  </si>
  <si>
    <t>Navajo (A442)</t>
  </si>
  <si>
    <t>Spun Silk (A307)</t>
  </si>
  <si>
    <t>Vanilla (A445)</t>
  </si>
  <si>
    <t>Biscuit (A309)</t>
  </si>
  <si>
    <t>Fawn (A312)</t>
  </si>
  <si>
    <t>Garnet Red (A202)</t>
  </si>
  <si>
    <t>Forest Green (A553)</t>
  </si>
  <si>
    <t>True Blue (A614)</t>
  </si>
  <si>
    <t>Order Width</t>
    <phoneticPr fontId="21" type="noConversion"/>
  </si>
  <si>
    <t>Fittings</t>
    <phoneticPr fontId="21" type="noConversion"/>
  </si>
  <si>
    <t>CAT_GROUP_35_2234</t>
    <phoneticPr fontId="21" type="noConversion"/>
  </si>
  <si>
    <t>Recess Fit</t>
    <phoneticPr fontId="21" type="noConversion"/>
  </si>
  <si>
    <t>25mm Alum Blinds</t>
    <phoneticPr fontId="21" type="noConversion"/>
  </si>
  <si>
    <t>STYLE35</t>
    <phoneticPr fontId="21" type="noConversion"/>
  </si>
  <si>
    <t>STYLE35_LK</t>
    <phoneticPr fontId="21" type="noConversion"/>
  </si>
  <si>
    <t>COLOR35</t>
    <phoneticPr fontId="21" type="noConversion"/>
  </si>
  <si>
    <t>ORDERVAR35</t>
    <phoneticPr fontId="21" type="noConversion"/>
  </si>
  <si>
    <t>OPTIONGROUP35</t>
    <phoneticPr fontId="21" type="noConversion"/>
  </si>
  <si>
    <t>OPTIONGROUP35_LK</t>
    <phoneticPr fontId="21" type="noConversion"/>
  </si>
  <si>
    <t>Standard</t>
    <phoneticPr fontId="21" type="noConversion"/>
  </si>
  <si>
    <t>CAT_STYLE_35_1000</t>
    <phoneticPr fontId="21" type="noConversion"/>
  </si>
  <si>
    <t>True White (A127)</t>
  </si>
  <si>
    <t>Arctic Ice (A122)</t>
  </si>
  <si>
    <t>Peach White (A124)</t>
  </si>
  <si>
    <t>Camel(A310)</t>
    <phoneticPr fontId="21" type="noConversion"/>
  </si>
  <si>
    <t>Milk Chocolate(A818)</t>
    <phoneticPr fontId="26" type="noConversion"/>
  </si>
  <si>
    <t>CUSTOMER NAME:</t>
  </si>
  <si>
    <t>DELIVERY ADDRESS:</t>
  </si>
  <si>
    <t>DATE:</t>
  </si>
  <si>
    <t>Item #</t>
  </si>
  <si>
    <t>Room
Location</t>
  </si>
  <si>
    <t>Gross Open Width</t>
  </si>
  <si>
    <t>Gross Open Height</t>
  </si>
  <si>
    <t>Blade Size</t>
  </si>
  <si>
    <t>Material</t>
  </si>
  <si>
    <t>Colour</t>
  </si>
  <si>
    <t>Mid Rail
Height</t>
  </si>
  <si>
    <t>Layout Code</t>
  </si>
  <si>
    <t>Mounting Method</t>
  </si>
  <si>
    <t>Hinge Colour</t>
  </si>
  <si>
    <t>Frame Type</t>
  </si>
  <si>
    <t>1st     
 T Post</t>
  </si>
  <si>
    <t>2nd 
T Post</t>
  </si>
  <si>
    <t>3rd    
 T Post</t>
  </si>
  <si>
    <t>Tiltrod Type</t>
  </si>
  <si>
    <t>m2</t>
  </si>
  <si>
    <t>General Notes</t>
  </si>
  <si>
    <t>Qty</t>
  </si>
  <si>
    <t>Fitting</t>
  </si>
  <si>
    <t>Bottom Rail Colour</t>
  </si>
  <si>
    <t>Chain Length</t>
  </si>
  <si>
    <t>Chain Colour</t>
  </si>
  <si>
    <t>Bracket Type</t>
  </si>
  <si>
    <t>SUPPLIER:</t>
  </si>
  <si>
    <t>PROMOTION NO.:</t>
  </si>
  <si>
    <t>PRODUCT SUMMARY PAGE</t>
  </si>
  <si>
    <t>PRODUCT - INTERNAL</t>
  </si>
  <si>
    <t>TAB COLOUR</t>
  </si>
  <si>
    <t>Roller Blinds</t>
  </si>
  <si>
    <t>Purple</t>
  </si>
  <si>
    <t>Red</t>
  </si>
  <si>
    <t>Shutters</t>
  </si>
  <si>
    <t>QTY ORDERED</t>
  </si>
  <si>
    <t>Green</t>
  </si>
  <si>
    <t>Orange</t>
  </si>
  <si>
    <t>Product</t>
  </si>
  <si>
    <t>Finish</t>
  </si>
  <si>
    <t>Hold Down</t>
  </si>
  <si>
    <t>25mm Aluminium Blinds</t>
  </si>
  <si>
    <t>Track Colour</t>
  </si>
  <si>
    <t>Pelmet Insert</t>
  </si>
  <si>
    <t>Vertical Blinds</t>
  </si>
  <si>
    <t>Yellow</t>
  </si>
  <si>
    <t>Universal Pelmet</t>
  </si>
  <si>
    <t>Pelmet Colour</t>
  </si>
  <si>
    <t>Bottom Weight</t>
  </si>
  <si>
    <t>PHONE:</t>
  </si>
  <si>
    <t>EMAIL TO:</t>
  </si>
  <si>
    <t>FAX:</t>
  </si>
  <si>
    <t>ENQUIRIES:</t>
  </si>
  <si>
    <t>Butt / Thru Blind</t>
  </si>
  <si>
    <t>Measurements (mm)</t>
  </si>
  <si>
    <t>A</t>
  </si>
  <si>
    <t>B</t>
  </si>
  <si>
    <t>Drop</t>
  </si>
  <si>
    <t>C</t>
  </si>
  <si>
    <t>D</t>
  </si>
  <si>
    <t>E</t>
  </si>
  <si>
    <t>Special Comments</t>
  </si>
  <si>
    <t>Fabric &amp; Colour</t>
  </si>
  <si>
    <t>Overroll Or Standard</t>
  </si>
  <si>
    <t>MS,  In Or Out</t>
  </si>
  <si>
    <t>YES / NO</t>
  </si>
  <si>
    <t>cmborders@pacificwholesale.com.au</t>
  </si>
  <si>
    <t>PACIFIC SALES COORDINATOR</t>
  </si>
  <si>
    <t xml:space="preserve">Side Winder Bracket Colour </t>
  </si>
  <si>
    <t>Fax: +61 2 9680 7488</t>
  </si>
  <si>
    <t>VERTICAL COLOURS</t>
  </si>
  <si>
    <t>London</t>
  </si>
  <si>
    <t>Maui</t>
  </si>
  <si>
    <t>Paris</t>
  </si>
  <si>
    <t>Sunscreen</t>
  </si>
  <si>
    <t>ROLLER BLINDS</t>
  </si>
  <si>
    <t>Roller Blind Product</t>
  </si>
  <si>
    <t xml:space="preserve">89mm Black </t>
  </si>
  <si>
    <t>89mm Ivory</t>
  </si>
  <si>
    <t>89mm White</t>
  </si>
  <si>
    <t>Tube</t>
  </si>
  <si>
    <t>Helper Spring</t>
  </si>
  <si>
    <t>Tube38mm</t>
  </si>
  <si>
    <t>Tube45mm</t>
  </si>
  <si>
    <t>&gt;2130 Width</t>
  </si>
  <si>
    <t>&gt;2100 Drop</t>
  </si>
  <si>
    <t>Fauxwood</t>
  </si>
  <si>
    <t>Cedar Image Medium PT-03-2</t>
  </si>
  <si>
    <t>CUSTOMER / ACCOUNT NAME:</t>
  </si>
  <si>
    <t>WindowType</t>
  </si>
  <si>
    <t>Side By Side</t>
  </si>
  <si>
    <t>Corner A Butt</t>
  </si>
  <si>
    <t>Corner A Thru</t>
  </si>
  <si>
    <t>Corner B Butt</t>
  </si>
  <si>
    <t>Corner B Thru</t>
  </si>
  <si>
    <t>AlumColours</t>
  </si>
  <si>
    <t>London Biscuit</t>
  </si>
  <si>
    <t>London Linen</t>
  </si>
  <si>
    <t>London Natural</t>
  </si>
  <si>
    <t>Maui Espresso</t>
  </si>
  <si>
    <t>Maui Latte</t>
  </si>
  <si>
    <t>Maui Off White</t>
  </si>
  <si>
    <t>Maui Pebble</t>
  </si>
  <si>
    <t>Maui Sand</t>
  </si>
  <si>
    <t>Paris Coconut</t>
  </si>
  <si>
    <t>Paris Corn Silk</t>
  </si>
  <si>
    <t>Paris Ice</t>
  </si>
  <si>
    <t>Paris Orient</t>
  </si>
  <si>
    <t>Paris Stone</t>
  </si>
  <si>
    <t>Paris Syllabub</t>
  </si>
  <si>
    <t>Paris Whisper</t>
  </si>
  <si>
    <t>Alabaster A441</t>
  </si>
  <si>
    <t>Arctic Ice A122</t>
  </si>
  <si>
    <t>Biscuit A309</t>
  </si>
  <si>
    <t>Camel A310</t>
  </si>
  <si>
    <t>Fawn A312</t>
  </si>
  <si>
    <t>Forest Green A553</t>
  </si>
  <si>
    <t>Garnet Red A202</t>
  </si>
  <si>
    <t>Malt A446</t>
  </si>
  <si>
    <t>Milk Chocolate A818</t>
  </si>
  <si>
    <t>Navajo A442</t>
  </si>
  <si>
    <t>Peach White A124</t>
  </si>
  <si>
    <t>Pitch Black A955</t>
  </si>
  <si>
    <t>Spun Silk A307</t>
  </si>
  <si>
    <t>True Blue A614</t>
  </si>
  <si>
    <t>True White A127</t>
  </si>
  <si>
    <t>Vanilla A445</t>
  </si>
  <si>
    <t>White Gloss A120</t>
  </si>
  <si>
    <t>Yellow White A126</t>
  </si>
  <si>
    <t>Illusion Mocha V314</t>
  </si>
  <si>
    <t>Illusion Harvest V450</t>
  </si>
  <si>
    <t>Illusion White V187</t>
  </si>
  <si>
    <t>Illusion Alabaster V484</t>
  </si>
  <si>
    <t>Illusion Vanilla V303</t>
  </si>
  <si>
    <t>Illusion Ivory V403</t>
  </si>
  <si>
    <t>PSColours50mm</t>
  </si>
  <si>
    <t>50mm Antique White V140</t>
  </si>
  <si>
    <t>50mm Arctic Snow Embossed PS103</t>
  </si>
  <si>
    <t>50mm Arctic Snow Plain PS103-P</t>
  </si>
  <si>
    <t>50mm Desert PT-06-02PS</t>
  </si>
  <si>
    <t>50mm Ivory Embossed PS207</t>
  </si>
  <si>
    <t>50mm Ivory Plain PS207-P</t>
  </si>
  <si>
    <t>50mm Off White V286</t>
  </si>
  <si>
    <t>50mm Sienna PT06-350PS</t>
  </si>
  <si>
    <t>50mm White V186</t>
  </si>
  <si>
    <t>PSColours63mm</t>
  </si>
  <si>
    <t>63mm Arctic Snow Plain PS103-P</t>
  </si>
  <si>
    <t>63mm Antique White V140</t>
  </si>
  <si>
    <t>63mm Ivory Plain PS207-P</t>
  </si>
  <si>
    <t>63mm Off White V286</t>
  </si>
  <si>
    <t>63mm Sienna Plain PT06-350PS</t>
  </si>
  <si>
    <t>63mm White V186</t>
  </si>
  <si>
    <t>TimberColours50mm</t>
  </si>
  <si>
    <t>Beech PT-06-336</t>
  </si>
  <si>
    <t>Cedar Image Dark PT-03-3</t>
  </si>
  <si>
    <t>Cherry PT-06-2</t>
  </si>
  <si>
    <t>Chestnut PT-06-838</t>
  </si>
  <si>
    <t>Chocolate PT-06-346</t>
  </si>
  <si>
    <t>Eggshell W-405</t>
  </si>
  <si>
    <t>Gold PT-06-1</t>
  </si>
  <si>
    <t>Sugar Maple PT-06-337</t>
  </si>
  <si>
    <t>White W-105</t>
  </si>
  <si>
    <t>ShutterMaterial</t>
  </si>
  <si>
    <t>Fauxwood Blockout</t>
  </si>
  <si>
    <t>Hinged</t>
  </si>
  <si>
    <t>Double Hinged</t>
  </si>
  <si>
    <t>Track Bi Fold</t>
  </si>
  <si>
    <t>Sliding</t>
  </si>
  <si>
    <t>Fixed</t>
  </si>
  <si>
    <t>MountingMethod</t>
  </si>
  <si>
    <t>No Frame</t>
  </si>
  <si>
    <t>Hanging Strip</t>
  </si>
  <si>
    <t>Small F/F L Frame</t>
  </si>
  <si>
    <t>Bullnose Z Frame</t>
  </si>
  <si>
    <t>Large Z Frame</t>
  </si>
  <si>
    <t>U Channel</t>
  </si>
  <si>
    <t>100mm</t>
  </si>
  <si>
    <t>220mm</t>
  </si>
  <si>
    <t>180mm</t>
  </si>
  <si>
    <t>FrameType</t>
  </si>
  <si>
    <t>Small L Frame</t>
  </si>
  <si>
    <t>Medium L Frame</t>
  </si>
  <si>
    <t>Medium F/F L Frame</t>
  </si>
  <si>
    <t>Large F/F L Frame</t>
  </si>
  <si>
    <t>Standard Z Frame</t>
  </si>
  <si>
    <t>Hinge</t>
  </si>
  <si>
    <t>White</t>
  </si>
  <si>
    <t>Eggshell</t>
  </si>
  <si>
    <t>Brass</t>
  </si>
  <si>
    <t>Nickel</t>
  </si>
  <si>
    <t>Stainless Steel</t>
  </si>
  <si>
    <t>Off White</t>
  </si>
  <si>
    <t>Antique White</t>
  </si>
  <si>
    <t>Jasper</t>
  </si>
  <si>
    <t>Mocha</t>
  </si>
  <si>
    <t>Antique Brass</t>
  </si>
  <si>
    <t>N/A</t>
  </si>
  <si>
    <t>Material Aluminium Insert</t>
  </si>
  <si>
    <t>FauxwoodY</t>
  </si>
  <si>
    <t>FauxwoodBlockoutN</t>
  </si>
  <si>
    <t>Link - Operate Separately, 38mm Tube</t>
  </si>
  <si>
    <t>Link - Operate Together, 38mm Tube</t>
  </si>
  <si>
    <t>Double (Standard), 38mm Tube</t>
  </si>
  <si>
    <t>Double (Slimline), 38mm Tube</t>
  </si>
  <si>
    <t>Double Link - Operate Separately (Standard), 38mm Tube</t>
  </si>
  <si>
    <t>Double Link - Operate Separately (Slimline), 38mm Tube</t>
  </si>
  <si>
    <t>Double Link - Operate Together (Standard), 38mm Tube</t>
  </si>
  <si>
    <t>Double Link - Operate Together (Slimline), 38mm Tube</t>
  </si>
  <si>
    <t>Link - Operate Separately, 45mm Tube</t>
  </si>
  <si>
    <t>Link - Operate Together, 45mm Tube</t>
  </si>
  <si>
    <t>Double (Slimline), 45mm Tube</t>
  </si>
  <si>
    <t>Double Link - Operate Separately (Standard), 45mm Tube</t>
  </si>
  <si>
    <t>Double Link - Operate Together (Standard), 45mm Tube</t>
  </si>
  <si>
    <t>Tiltrod</t>
  </si>
  <si>
    <t>Centre</t>
  </si>
  <si>
    <t>Off-Set</t>
  </si>
  <si>
    <t>Hidden</t>
  </si>
  <si>
    <t>Rack &amp; Pinion</t>
  </si>
  <si>
    <t>Large L Frame</t>
  </si>
  <si>
    <t>Left Frame</t>
  </si>
  <si>
    <t>Right Frame</t>
  </si>
  <si>
    <t>Top Frame</t>
  </si>
  <si>
    <t>63mm PS Privacy Blind</t>
  </si>
  <si>
    <t>63mm PS Blind</t>
  </si>
  <si>
    <t>50mm PS Blind</t>
  </si>
  <si>
    <t>50mm PS Privacy Blind</t>
  </si>
  <si>
    <t>PS50mm</t>
  </si>
  <si>
    <t>PS63mm</t>
  </si>
  <si>
    <t>Extenstion Bracket</t>
  </si>
  <si>
    <t>Extension Bracket Quantity</t>
  </si>
  <si>
    <t>London Dune</t>
  </si>
  <si>
    <t>London Dusk</t>
  </si>
  <si>
    <t>London Onyx</t>
  </si>
  <si>
    <t>London White Talc</t>
  </si>
  <si>
    <t>FACE</t>
  </si>
  <si>
    <t>FRONT MEASURE</t>
  </si>
  <si>
    <t>RECESS</t>
  </si>
  <si>
    <t>BACK MEASURE</t>
  </si>
  <si>
    <t>Bottom Frame/
Track</t>
  </si>
  <si>
    <t>Sliding Open Or Closed</t>
  </si>
  <si>
    <t>Midrail</t>
  </si>
  <si>
    <t>Black</t>
  </si>
  <si>
    <t>Aqua</t>
  </si>
  <si>
    <t>Tan</t>
  </si>
  <si>
    <t>CMB Corner Worksheet</t>
  </si>
  <si>
    <t>CMB Bay Worksheet</t>
  </si>
  <si>
    <t>CMB CORNER WORKSHEET</t>
  </si>
  <si>
    <t>CMB BAY WORKSHEET</t>
  </si>
  <si>
    <t>PVC 89mm</t>
  </si>
  <si>
    <t>Fabric 127mm</t>
  </si>
  <si>
    <t>Chainless</t>
  </si>
  <si>
    <t>Track On Board</t>
  </si>
  <si>
    <t>Track In Board</t>
  </si>
  <si>
    <t>BottomFrameTrack</t>
  </si>
  <si>
    <t>Light Stop</t>
  </si>
  <si>
    <t>Floor Guide</t>
  </si>
  <si>
    <t>Track Only</t>
  </si>
  <si>
    <t>Z Sill Frame</t>
  </si>
  <si>
    <t>Panel Width</t>
  </si>
  <si>
    <t>Panel Width Check</t>
  </si>
  <si>
    <t>Panel Height Check</t>
  </si>
  <si>
    <t>Tiltrod Required</t>
  </si>
  <si>
    <t>FauxwoodT</t>
  </si>
  <si>
    <t>FauxwoodBlockoutT</t>
  </si>
  <si>
    <t>Aluminium Inserts Highlight</t>
  </si>
  <si>
    <t>HoldDown</t>
  </si>
  <si>
    <t xml:space="preserve">No </t>
  </si>
  <si>
    <t>Oval Bottom Rail</t>
  </si>
  <si>
    <t>Sewn In Pocket</t>
  </si>
  <si>
    <t>White Birch</t>
  </si>
  <si>
    <t>Metallic Black</t>
  </si>
  <si>
    <t>Clear Anodised</t>
  </si>
  <si>
    <t>Ivory</t>
  </si>
  <si>
    <t>VerticalPelmentYes</t>
  </si>
  <si>
    <t>VerticalPelmentNo</t>
  </si>
  <si>
    <t>Sunscreen Linen N201</t>
  </si>
  <si>
    <t>Sunscreen Ivory N091</t>
  </si>
  <si>
    <t xml:space="preserve"> + 61 2 9680 7488</t>
  </si>
  <si>
    <t>Stack 
(Wands Only - No Cord)</t>
  </si>
  <si>
    <t>Phone: +61 2 8850 9301</t>
  </si>
  <si>
    <t>Pacific Wholesale Distributors. Tel. +61 2 9680 7999 (Reception)</t>
  </si>
  <si>
    <t>FauxwoodRPNo</t>
  </si>
  <si>
    <t>Layout Code Check</t>
  </si>
  <si>
    <t>LR</t>
  </si>
  <si>
    <t>L</t>
  </si>
  <si>
    <t>R</t>
  </si>
  <si>
    <t>Aluminium Insert Blade Size Check</t>
  </si>
  <si>
    <t>FauxwoodAI</t>
  </si>
  <si>
    <t>FauxwoodAINo</t>
  </si>
  <si>
    <t>Check T Post &amp; Layout Code</t>
  </si>
  <si>
    <t>Check 1st T Post</t>
  </si>
  <si>
    <t>Check 2nd T Post</t>
  </si>
  <si>
    <t>Check 3rd T Post</t>
  </si>
  <si>
    <t xml:space="preserve">Paris White </t>
  </si>
  <si>
    <t>Paris Soft White</t>
  </si>
  <si>
    <t>Paris Essence</t>
  </si>
  <si>
    <t>Paris Champagne</t>
  </si>
  <si>
    <t>Paris Natural</t>
  </si>
  <si>
    <t>Paris Fawn</t>
  </si>
  <si>
    <t>Paris Camel</t>
  </si>
  <si>
    <t>Paris Ashmere</t>
  </si>
  <si>
    <t>Paris Ash Grey</t>
  </si>
  <si>
    <t>Paris Turquoise</t>
  </si>
  <si>
    <t>Paris Pacific Blue</t>
  </si>
  <si>
    <t>Paris Scarlet</t>
  </si>
  <si>
    <t>Paris Hazelnut</t>
  </si>
  <si>
    <t>Paris Cocoa</t>
  </si>
  <si>
    <t>Paris Burnt Sienna</t>
  </si>
  <si>
    <t>Paris Slate</t>
  </si>
  <si>
    <t>Paris Black</t>
  </si>
  <si>
    <t>Fabric 89mm</t>
  </si>
  <si>
    <t>Slat/Fabric Width</t>
  </si>
  <si>
    <t>Fabric/Slat Width</t>
  </si>
  <si>
    <t>Hinge Quantity</t>
  </si>
  <si>
    <t>Check Combo Panels</t>
  </si>
  <si>
    <t>SALES ORDER NO.:</t>
  </si>
  <si>
    <t>PWD ORDER NO.:</t>
  </si>
  <si>
    <t>PVC_89mm</t>
  </si>
  <si>
    <t>Fabric_89mm</t>
  </si>
  <si>
    <t>Fabric_127mm</t>
  </si>
  <si>
    <t>Check T &amp; Layout Code</t>
  </si>
  <si>
    <t>Check C Or B Layout Code</t>
  </si>
  <si>
    <t>VerticalTrack</t>
  </si>
  <si>
    <t>PVC89mm</t>
  </si>
  <si>
    <t>Fabric89mm</t>
  </si>
  <si>
    <t>Fabric127mm</t>
  </si>
  <si>
    <t>BBFF</t>
  </si>
  <si>
    <t>BBFFFFBB</t>
  </si>
  <si>
    <t>BBMMFF</t>
  </si>
  <si>
    <t>BF</t>
  </si>
  <si>
    <t>BFB</t>
  </si>
  <si>
    <t>BFFB</t>
  </si>
  <si>
    <t>BMF</t>
  </si>
  <si>
    <t>BMFFMB</t>
  </si>
  <si>
    <t>F</t>
  </si>
  <si>
    <t>FB</t>
  </si>
  <si>
    <t>FBBF</t>
  </si>
  <si>
    <t>FBF</t>
  </si>
  <si>
    <t>FBFB</t>
  </si>
  <si>
    <t>FF</t>
  </si>
  <si>
    <t>FFF</t>
  </si>
  <si>
    <t>FMB</t>
  </si>
  <si>
    <t>LBLRBR</t>
  </si>
  <si>
    <t>LBLTRBR</t>
  </si>
  <si>
    <t>LCLRCR</t>
  </si>
  <si>
    <t>LCLTRCR</t>
  </si>
  <si>
    <t>LCR</t>
  </si>
  <si>
    <t>LL</t>
  </si>
  <si>
    <t>LLLL</t>
  </si>
  <si>
    <t>LLLLLL</t>
  </si>
  <si>
    <t>LLLLLLLL</t>
  </si>
  <si>
    <t>LLLLRR</t>
  </si>
  <si>
    <t>LLLLRRR</t>
  </si>
  <si>
    <t>LLLLRRRR</t>
  </si>
  <si>
    <t>LLR</t>
  </si>
  <si>
    <t>LLRR</t>
  </si>
  <si>
    <t>LLRRRR</t>
  </si>
  <si>
    <t>LLTRR</t>
  </si>
  <si>
    <t>LRR</t>
  </si>
  <si>
    <t>LRTLR</t>
  </si>
  <si>
    <t>LRTLRTLR</t>
  </si>
  <si>
    <t>LRTR</t>
  </si>
  <si>
    <t>LTLR</t>
  </si>
  <si>
    <t>LTLRTR</t>
  </si>
  <si>
    <t>LTLRTRTLTLRTR</t>
  </si>
  <si>
    <t>LTLTL</t>
  </si>
  <si>
    <t>LTLTR</t>
  </si>
  <si>
    <t>LTR</t>
  </si>
  <si>
    <t>LTRTR</t>
  </si>
  <si>
    <t>RR</t>
  </si>
  <si>
    <t>RRRR</t>
  </si>
  <si>
    <t>RRRRRR</t>
  </si>
  <si>
    <t>RTRTR</t>
  </si>
  <si>
    <t>LRTL</t>
  </si>
  <si>
    <t>RRTL</t>
  </si>
  <si>
    <t>LLTR</t>
  </si>
  <si>
    <t>LTRR</t>
  </si>
  <si>
    <t>RTLL</t>
  </si>
  <si>
    <t>LTLRTLRTR</t>
  </si>
  <si>
    <t>LLLLLLRR</t>
  </si>
  <si>
    <t>LLRRRRRR</t>
  </si>
  <si>
    <t>BB</t>
  </si>
  <si>
    <t>FFBB</t>
  </si>
  <si>
    <t>FMMB</t>
  </si>
  <si>
    <t>BMMF</t>
  </si>
  <si>
    <t>FFBBBBFF</t>
  </si>
  <si>
    <t>FFMMBB</t>
  </si>
  <si>
    <t>FMBBMF</t>
  </si>
  <si>
    <t>LBR</t>
  </si>
  <si>
    <t>LBL</t>
  </si>
  <si>
    <t>RBR</t>
  </si>
  <si>
    <t>LBLR</t>
  </si>
  <si>
    <t>RBLR</t>
  </si>
  <si>
    <t>LRBL</t>
  </si>
  <si>
    <t>LRBR</t>
  </si>
  <si>
    <t xml:space="preserve">LRBLR </t>
  </si>
  <si>
    <t>LTRBLTR</t>
  </si>
  <si>
    <t>LRBLRBLR</t>
  </si>
  <si>
    <t>LBLRTLRBR</t>
  </si>
  <si>
    <t>LBLTLRTRBR</t>
  </si>
  <si>
    <t>LRCLRCLR</t>
  </si>
  <si>
    <t>LCLRTLRCR</t>
  </si>
  <si>
    <t>LTRCLTRCLTR</t>
  </si>
  <si>
    <t>LCLRTLRTLRCR</t>
  </si>
  <si>
    <t>LRCLTLRTRCLR</t>
  </si>
  <si>
    <t>LayoutCodes</t>
  </si>
  <si>
    <t>Illusion Alabaster (V484)</t>
  </si>
  <si>
    <t>Illusion Harvest (V450)</t>
  </si>
  <si>
    <t>Illusion Ivory (V403)</t>
  </si>
  <si>
    <t>Illusion Mocha (V314)</t>
  </si>
  <si>
    <t>Illusion Vanilla (V303)</t>
  </si>
  <si>
    <t>Illusion White (V187)</t>
  </si>
  <si>
    <t>White (F186)</t>
  </si>
  <si>
    <t>Off White (F286)</t>
  </si>
  <si>
    <t>Antique White (F140)</t>
  </si>
  <si>
    <t>White (W105)</t>
  </si>
  <si>
    <t>Eggshell (W405)</t>
  </si>
  <si>
    <t>Antique White (W140)</t>
  </si>
  <si>
    <t>Jasper (W498)</t>
  </si>
  <si>
    <t>Mocha (W811)</t>
  </si>
  <si>
    <t>Dark Chestnut (PT-06-7)</t>
  </si>
  <si>
    <t>Coffee (W890)</t>
  </si>
  <si>
    <t>Walnut (W891)</t>
  </si>
  <si>
    <t>Maple (W893)</t>
  </si>
  <si>
    <t>Dark Cherry (W894)</t>
  </si>
  <si>
    <t>Mahogany (W306)</t>
  </si>
  <si>
    <t>Black Walnut (W920)</t>
  </si>
  <si>
    <t>Hinged_BFT</t>
  </si>
  <si>
    <t>Double_Hinged_BFT</t>
  </si>
  <si>
    <t>Track_Bi_Fold_BFT</t>
  </si>
  <si>
    <t>Sliding_BFT</t>
  </si>
  <si>
    <t>Fixed_BFT</t>
  </si>
  <si>
    <t>Pivot_Hinged_BFT</t>
  </si>
  <si>
    <t>Hinged_TF</t>
  </si>
  <si>
    <t>Double_Hinged_TF</t>
  </si>
  <si>
    <t>Track_Bi_Fold_TF</t>
  </si>
  <si>
    <t>Sliding_TF</t>
  </si>
  <si>
    <t>Fixed_TF</t>
  </si>
  <si>
    <t>Pivot_Hinged_TF</t>
  </si>
  <si>
    <t>Bottom Fame/Track</t>
  </si>
  <si>
    <t>140mm</t>
  </si>
  <si>
    <t>Hinge Quantity Fauxwood</t>
  </si>
  <si>
    <t>Hinge Quantity Basswood</t>
  </si>
  <si>
    <t>Double Hinged Check</t>
  </si>
  <si>
    <t>Width Check</t>
  </si>
  <si>
    <t>Fauxwood Panel With Check</t>
  </si>
  <si>
    <t>114mm</t>
  </si>
  <si>
    <t>Panels</t>
  </si>
  <si>
    <t>Fluffy Strip</t>
  </si>
  <si>
    <t>Bay Window</t>
  </si>
  <si>
    <t>Corner Window</t>
  </si>
  <si>
    <t>Door Cut Out</t>
  </si>
  <si>
    <t>Shaped Arch</t>
  </si>
  <si>
    <t>Shaped Hexagon</t>
  </si>
  <si>
    <t>Shaped Octagon</t>
  </si>
  <si>
    <t>Shaped Round</t>
  </si>
  <si>
    <t>Shaped Sunburst</t>
  </si>
  <si>
    <t>Shaped Triangle</t>
  </si>
  <si>
    <t>French Door</t>
  </si>
  <si>
    <t>Split Tiltrod In Half</t>
  </si>
  <si>
    <t>Combo Panels</t>
  </si>
  <si>
    <t>All Even Panels</t>
  </si>
  <si>
    <t>Smallest Possible Top &amp; Bottom Rails</t>
  </si>
  <si>
    <t>Maximum Blades Possible</t>
  </si>
  <si>
    <t>Special_Comments_1</t>
  </si>
  <si>
    <t>Special_Comments_2</t>
  </si>
  <si>
    <t>63mm</t>
  </si>
  <si>
    <t>89mm</t>
  </si>
  <si>
    <t>Fauxwood_Blade</t>
  </si>
  <si>
    <t>Fauxwood_Blockout_Blade</t>
  </si>
  <si>
    <t>Special Window</t>
  </si>
  <si>
    <t>Colour Check</t>
  </si>
  <si>
    <t>114mm Colour Check</t>
  </si>
  <si>
    <t>OK</t>
  </si>
  <si>
    <t>Blade Size Check</t>
  </si>
  <si>
    <t>Frame Entry Check</t>
  </si>
  <si>
    <t>Additional Fascia 100mm x 9.5mm</t>
  </si>
  <si>
    <t>Additional Fascia 140mm x 9.5mm</t>
  </si>
  <si>
    <t>Additional Fascia 60mm x 9.5mm</t>
  </si>
  <si>
    <t>Additional Headboard 100mm x 19mm</t>
  </si>
  <si>
    <t>Additional Headboard 180mm x 19mm</t>
  </si>
  <si>
    <t>Additional Headboard 220mm x 19mm</t>
  </si>
  <si>
    <t>Hanging Strip 35mm x 28.6mm</t>
  </si>
  <si>
    <t>Large Face Fit L Frame</t>
  </si>
  <si>
    <t>Light Stop 19mm x 19mm</t>
  </si>
  <si>
    <t>Light Stop 19mm x 30mm</t>
  </si>
  <si>
    <t>Light Stop 19mm x 9.5mm</t>
  </si>
  <si>
    <t>Light Stop 20mm x 5mm</t>
  </si>
  <si>
    <t>Light Stop 31.8mm x 9.5mm</t>
  </si>
  <si>
    <t>Light Stop 40mm x 30mm</t>
  </si>
  <si>
    <t>Light Stop 50mm x 30mm</t>
  </si>
  <si>
    <t>Medium Face Fit L Frame</t>
  </si>
  <si>
    <t>Mounting Block 18mm x 18mm</t>
  </si>
  <si>
    <t>Mounting Block 30mm x 30mm</t>
  </si>
  <si>
    <t>Small Face Fit L Frame</t>
  </si>
  <si>
    <t>T Post</t>
  </si>
  <si>
    <t>Tracking For Bi Fold &amp; Sliding Shutters</t>
  </si>
  <si>
    <t>U Channel 40mm x 15mm</t>
  </si>
  <si>
    <t>U Channel 40mm x 25mm</t>
  </si>
  <si>
    <t>Extras</t>
  </si>
  <si>
    <t>Standard Special Comments # 1</t>
  </si>
  <si>
    <t>Standard Special Comments # 2</t>
  </si>
  <si>
    <t>Hinged_Frame_Type</t>
  </si>
  <si>
    <t>Sliding_Frame_Type</t>
  </si>
  <si>
    <t>Fixed_Frame_Type</t>
  </si>
  <si>
    <t>Double_Hinged_Frame_Type</t>
  </si>
  <si>
    <t>Track_Bi_Fold_Frame_Type</t>
  </si>
  <si>
    <t>Z Frame Check</t>
  </si>
  <si>
    <t>Highlight Out &amp; Z Frame</t>
  </si>
  <si>
    <t>Layout Code Count</t>
  </si>
  <si>
    <t>Layout Code Check Count</t>
  </si>
  <si>
    <t>Error Layout Code</t>
  </si>
  <si>
    <t>Order Requirements Alert</t>
  </si>
  <si>
    <t>Bay Window Diagram Must Be Supplied</t>
  </si>
  <si>
    <t>Corner Window Diagram Must Be Supplied</t>
  </si>
  <si>
    <t>Cut-Out Template Must Be Supplied</t>
  </si>
  <si>
    <t>Check Special Window For Alert</t>
  </si>
  <si>
    <t>Bay Check</t>
  </si>
  <si>
    <t>Corner Check</t>
  </si>
  <si>
    <t>Shape Check</t>
  </si>
  <si>
    <t>Template Check</t>
  </si>
  <si>
    <t>Drawing/Diagram Must Be Supplied</t>
  </si>
  <si>
    <t>Bi Fold Bracket</t>
  </si>
  <si>
    <t>Bumper Stops</t>
  </si>
  <si>
    <t>D Mold</t>
  </si>
  <si>
    <t>Divider Rail/Mid Rail (Centre Rail), 79mm x 20.5mm</t>
  </si>
  <si>
    <t>Fluffy Strips</t>
  </si>
  <si>
    <t>Herman Joints</t>
  </si>
  <si>
    <t>Hidden Tiltrod, 114mm</t>
  </si>
  <si>
    <t>Hidden Tiltrod, 63mm</t>
  </si>
  <si>
    <t>Hidden Tiltrod, 89mm</t>
  </si>
  <si>
    <t>Hinge Packers</t>
  </si>
  <si>
    <t>Hinge Pin</t>
  </si>
  <si>
    <t>Magnet Sets Round</t>
  </si>
  <si>
    <t>Magnets &amp; Catches</t>
  </si>
  <si>
    <t>Patented Pinion Rack 89mm, 30cm</t>
  </si>
  <si>
    <t>Pinion, Pin &amp; Washer</t>
  </si>
  <si>
    <t>Pivot Hinges, Left &amp; Right Sides</t>
  </si>
  <si>
    <t>Pivots</t>
  </si>
  <si>
    <t>Plugs</t>
  </si>
  <si>
    <t>Ramp Cap</t>
  </si>
  <si>
    <t>Screw</t>
  </si>
  <si>
    <t>Shutter Tiltrod</t>
  </si>
  <si>
    <t>Slider Bracket, White</t>
  </si>
  <si>
    <t>Slider Wheels</t>
  </si>
  <si>
    <t>Spanner</t>
  </si>
  <si>
    <t>Spring Pins</t>
  </si>
  <si>
    <t>Stainless Steel Hinges</t>
  </si>
  <si>
    <t>Standard Hinges</t>
  </si>
  <si>
    <t>Stepped Hinges</t>
  </si>
  <si>
    <t>Stile</t>
  </si>
  <si>
    <t>Stile With Rebate &amp; Insert, 50.8mm x 27mm</t>
  </si>
  <si>
    <t>Stile With Rebate &amp; Rabbet</t>
  </si>
  <si>
    <t>Top Bracket</t>
  </si>
  <si>
    <t>Additional Fascia 100mm x 9.5mm Material</t>
  </si>
  <si>
    <t>Additional Fascia 140mm x 9.5mm Material</t>
  </si>
  <si>
    <t>Additional Fascia 60mm x 9.5mm Material</t>
  </si>
  <si>
    <t>Additional Headboard 100mm x 19mm Material</t>
  </si>
  <si>
    <t>Additional Headboard 180mm x 19mm Material</t>
  </si>
  <si>
    <t>Additional Headboard 220mm x 19mm Material</t>
  </si>
  <si>
    <t>Bullnose Z Frame Material</t>
  </si>
  <si>
    <t>Hanging Strip 35mm x 28.6mm Material</t>
  </si>
  <si>
    <t>Large Face Fit L Frame Material</t>
  </si>
  <si>
    <t>Large Z Frame Material</t>
  </si>
  <si>
    <t>Light Stop 19mm x 19mm Material</t>
  </si>
  <si>
    <t>Light Stop 19mm x 30mm Material</t>
  </si>
  <si>
    <t>Light Stop 19mm x 9.5mm Material</t>
  </si>
  <si>
    <t>Light Stop 20mm x 5mm Material</t>
  </si>
  <si>
    <t>Light Stop 31.8mm x 9.5mm Material</t>
  </si>
  <si>
    <t>Light Stop 40mm x 30mm Material</t>
  </si>
  <si>
    <t>Light Stop 50mm x 30mm Material</t>
  </si>
  <si>
    <t>Medium Face Fit L Frame Material</t>
  </si>
  <si>
    <t>Medium L Frame Material</t>
  </si>
  <si>
    <t>Mounting Block 18mm x 18mm Material</t>
  </si>
  <si>
    <t>Mounting Block 30mm x 30mm Material</t>
  </si>
  <si>
    <t>Small Face Fit L Frame Material</t>
  </si>
  <si>
    <t>Small L Frame Material</t>
  </si>
  <si>
    <t>T Post Material</t>
  </si>
  <si>
    <t>U Channel 40mm x 15mm Material</t>
  </si>
  <si>
    <t>U Channel 40mm x 25mm Material</t>
  </si>
  <si>
    <t>Z Sill Frame Material</t>
  </si>
  <si>
    <t>This is designed to begin at the left and work towards the right as options will change based on selections</t>
  </si>
  <si>
    <t>Left Panel Open First</t>
  </si>
  <si>
    <t>Mandatory Fields</t>
  </si>
  <si>
    <t>Quantity</t>
  </si>
  <si>
    <t>Hardware</t>
  </si>
  <si>
    <t>Extra's</t>
  </si>
  <si>
    <t>Check Frame Deduction</t>
  </si>
  <si>
    <t>Check In/Out MS</t>
  </si>
  <si>
    <t>Calculation</t>
  </si>
  <si>
    <t>Multiplier</t>
  </si>
  <si>
    <t>Length</t>
  </si>
  <si>
    <t>WhiteF186</t>
  </si>
  <si>
    <t>BlackWalnutW920</t>
  </si>
  <si>
    <t>WhiteW105</t>
  </si>
  <si>
    <t>EggshellW405</t>
  </si>
  <si>
    <t>AntiqueWhiteW140</t>
  </si>
  <si>
    <t>JasperW498</t>
  </si>
  <si>
    <t>MochaW811</t>
  </si>
  <si>
    <t>DarkChestnutPT067</t>
  </si>
  <si>
    <t>CoffeeW890</t>
  </si>
  <si>
    <t>WalnutW891</t>
  </si>
  <si>
    <t>MapleW893</t>
  </si>
  <si>
    <t>DarkCherryW894</t>
  </si>
  <si>
    <t>MahoganyW306</t>
  </si>
  <si>
    <t>FBOWhiteF186</t>
  </si>
  <si>
    <t>FBOOffWhiteF286</t>
  </si>
  <si>
    <t>FBOAntiqueWhiteF140</t>
  </si>
  <si>
    <t>Basswood Blade Options &amp; Colour</t>
  </si>
  <si>
    <t>Blade Option Setting</t>
  </si>
  <si>
    <t>Bi Fold Bottom Fixed Pivot Bracket &amp; Pin</t>
  </si>
  <si>
    <t>Bottom Pivot Pin For Bi Fold/Sliding Panel</t>
  </si>
  <si>
    <t>Bumper Stop</t>
  </si>
  <si>
    <t>Carrier Bracket For Bi Fold/Sliding Panel</t>
  </si>
  <si>
    <t>Hinge Packer</t>
  </si>
  <si>
    <t>Magnet &amp; Catch</t>
  </si>
  <si>
    <t>Slider L Bracket</t>
  </si>
  <si>
    <t>Spring Pin</t>
  </si>
  <si>
    <t>Standard Hinge</t>
  </si>
  <si>
    <t>Top Fixed Pivot Bracket</t>
  </si>
  <si>
    <t>Top Track Stopper Block</t>
  </si>
  <si>
    <t>Top Wheel</t>
  </si>
  <si>
    <t>Caramel</t>
  </si>
  <si>
    <t>Bright Silver</t>
  </si>
  <si>
    <t>Stepped Rabbet Hinge</t>
  </si>
  <si>
    <t>Flat Hinge</t>
  </si>
  <si>
    <t>L Drop Hinge</t>
  </si>
  <si>
    <t>Hidden Tiltrod 114mm</t>
  </si>
  <si>
    <t>Hidden Tiltrod 63mm</t>
  </si>
  <si>
    <t>Hidden Tiltrod 89mm</t>
  </si>
  <si>
    <t>Magnet Catch</t>
  </si>
  <si>
    <t>Pivot Hinges Left Right Sides</t>
  </si>
  <si>
    <t>Carrier Bracket For Bi Fold Sliding Panel</t>
  </si>
  <si>
    <t>Bottom Pivot Pin For Bi Fold Sliding Panel</t>
  </si>
  <si>
    <t>Bi Fold Bottom Fixed Pivot Bracket Pin</t>
  </si>
  <si>
    <t>Additional Item Notes</t>
  </si>
  <si>
    <t>FauxwoodExtrasOptions</t>
  </si>
  <si>
    <t>Sliding Frame 108mm x 35mm Bi Pass Frame Material</t>
  </si>
  <si>
    <t>Tracking For Bi Fold Sliding Shutters Material</t>
  </si>
  <si>
    <t>Critical Mid Rail Highlight</t>
  </si>
  <si>
    <t>Rack &amp; Pinion Surcharge Check</t>
  </si>
  <si>
    <t>Shaped Check</t>
  </si>
  <si>
    <t>Fauxwood Oversize Check</t>
  </si>
  <si>
    <t>Surcharge Check</t>
  </si>
  <si>
    <t xml:space="preserve">Surcharge </t>
  </si>
  <si>
    <t>Large Size Panel</t>
  </si>
  <si>
    <t>Standard Special Comments # 3</t>
  </si>
  <si>
    <t>Special_Comments_3</t>
  </si>
  <si>
    <t>User Specific Line Item Notes/Special Comments</t>
  </si>
  <si>
    <t>Track Check</t>
  </si>
  <si>
    <t>Open</t>
  </si>
  <si>
    <t>Closed</t>
  </si>
  <si>
    <t>SOCHinged</t>
  </si>
  <si>
    <t>SOCDoubleHinged</t>
  </si>
  <si>
    <t>SOCTrackBiFold</t>
  </si>
  <si>
    <t>SOCSliding</t>
  </si>
  <si>
    <t>SOCFixed</t>
  </si>
  <si>
    <t>CheckLayoutCode</t>
  </si>
  <si>
    <t>Check Layout Code T Post Quantity</t>
  </si>
  <si>
    <t xml:space="preserve">Check T Post &amp; Layout Code </t>
  </si>
  <si>
    <t>Left &amp; Right Frame</t>
  </si>
  <si>
    <t>LRFNoFrame</t>
  </si>
  <si>
    <t>LRFHangingStrip</t>
  </si>
  <si>
    <t>LRFSmallLFrame</t>
  </si>
  <si>
    <t>LRFSmallFFLFrame</t>
  </si>
  <si>
    <t>LRFMediumLFrame</t>
  </si>
  <si>
    <t>LRFMediumFFLFrame</t>
  </si>
  <si>
    <t>LRFLargeLFrame</t>
  </si>
  <si>
    <t>LRFLargeFFLFrame</t>
  </si>
  <si>
    <t>LRFStandardZFrame</t>
  </si>
  <si>
    <t>LRFLargeZFrame</t>
  </si>
  <si>
    <t>LRFBullnoseZFrame</t>
  </si>
  <si>
    <t>LRFUChannel</t>
  </si>
  <si>
    <t>LRF100mm</t>
  </si>
  <si>
    <t>LRF140mm</t>
  </si>
  <si>
    <t>LRF180mm</t>
  </si>
  <si>
    <t>LRF220mm</t>
  </si>
  <si>
    <t>Layout Code &amp; T Post Quantity Issue</t>
  </si>
  <si>
    <t>Panels Fixed With Magnets &amp; Catches</t>
  </si>
  <si>
    <t>Check T Post &amp; T Post Entries</t>
  </si>
  <si>
    <t>Error</t>
  </si>
  <si>
    <t>Check T Post &amp; Layout Code Highlight</t>
  </si>
  <si>
    <t>1st T Post Hightlight Entered</t>
  </si>
  <si>
    <t>1st T Post Hightlight Entered Issue</t>
  </si>
  <si>
    <t>2nd T Post Hightlight Entered Issue</t>
  </si>
  <si>
    <t>3rd T Post Hightlight Entered Issue</t>
  </si>
  <si>
    <t>FauxwoodExtraOptionsStd</t>
  </si>
  <si>
    <t>Bi Fold Frame, 60mm x 9.5mm</t>
  </si>
  <si>
    <t>Bi Fold Frame 60mm x 9.5mm Material</t>
  </si>
  <si>
    <t>Top Bottom Rail 137.5mm x 21mm Material</t>
  </si>
  <si>
    <t>Taos A611</t>
  </si>
  <si>
    <t>Aluminium A964</t>
  </si>
  <si>
    <t>WindowCheck</t>
  </si>
  <si>
    <t>Corner</t>
  </si>
  <si>
    <t>Bay</t>
  </si>
  <si>
    <t>Bracket Option</t>
  </si>
  <si>
    <t>Double</t>
  </si>
  <si>
    <t>Link</t>
  </si>
  <si>
    <t>Double Link</t>
  </si>
  <si>
    <t>38mmTubeStandard</t>
  </si>
  <si>
    <t>Bracket_Type</t>
  </si>
  <si>
    <t>Default</t>
  </si>
  <si>
    <t>Slimline</t>
  </si>
  <si>
    <t>Operate Separately</t>
  </si>
  <si>
    <t>Operate Together</t>
  </si>
  <si>
    <t>Operate Separately (Slimline)</t>
  </si>
  <si>
    <t>Operate Separately (Standard)</t>
  </si>
  <si>
    <t>Operate Together (Slimline)</t>
  </si>
  <si>
    <t>Operate Together (Standard)</t>
  </si>
  <si>
    <t>38mm Tube</t>
  </si>
  <si>
    <t>45mm Tube</t>
  </si>
  <si>
    <t>Small_Tube</t>
  </si>
  <si>
    <t>Large_Tube</t>
  </si>
  <si>
    <t>TubeStandard</t>
  </si>
  <si>
    <t>Tube38mmLink</t>
  </si>
  <si>
    <t>Double45mmTube</t>
  </si>
  <si>
    <t>DoubleLink38mmTube</t>
  </si>
  <si>
    <t>DoubleLink45mmTube</t>
  </si>
  <si>
    <t>Match Bracket</t>
  </si>
  <si>
    <t>Match Option</t>
  </si>
  <si>
    <t>Index</t>
  </si>
  <si>
    <t>Double38mmTube</t>
  </si>
  <si>
    <r>
      <t xml:space="preserve">PACIFIC SHUTTER SALES COORDINATOR </t>
    </r>
    <r>
      <rPr>
        <b/>
        <i/>
        <sz val="10"/>
        <rFont val="Arial"/>
        <family val="2"/>
      </rPr>
      <t>(PWD Internal Use)</t>
    </r>
  </si>
  <si>
    <t>Cover Strip To Fit Face Fit Frame 12.5mm x 5mm</t>
  </si>
  <si>
    <t>Cover Strip To Fit Face Fit Frame 17mm x 5mm</t>
  </si>
  <si>
    <t>OUT</t>
  </si>
  <si>
    <t>Basswood Luxury</t>
  </si>
  <si>
    <t>Fauxwood Eco</t>
  </si>
  <si>
    <t>Fauxwood Night</t>
  </si>
  <si>
    <t>Pure White (F190)</t>
  </si>
  <si>
    <t>Pure White (W190)</t>
  </si>
  <si>
    <t>Material &amp;
Product</t>
  </si>
  <si>
    <t>Fauxwood Eco Blade Options &amp; Colour</t>
  </si>
  <si>
    <t>Fauxwood Night Blade Options &amp; Colour</t>
  </si>
  <si>
    <t>Fauxwood Lite Blade Options &amp; Colour</t>
  </si>
  <si>
    <t>PureWhiteW190</t>
  </si>
  <si>
    <t>LiteWhiteF186</t>
  </si>
  <si>
    <t>LiteOffWhiteF286</t>
  </si>
  <si>
    <t>LiteAntiqueWhiteF140</t>
  </si>
  <si>
    <t>LitePureWhiteF190</t>
  </si>
  <si>
    <t>IN</t>
  </si>
  <si>
    <t>MS</t>
  </si>
  <si>
    <t>LBLBL</t>
  </si>
  <si>
    <t>LBRBR</t>
  </si>
  <si>
    <t>LCLCL</t>
  </si>
  <si>
    <t>LCLR</t>
  </si>
  <si>
    <t xml:space="preserve">LCLRTLRCR </t>
  </si>
  <si>
    <t>LCLTLTR</t>
  </si>
  <si>
    <t xml:space="preserve">LCLTR </t>
  </si>
  <si>
    <t>LCRCR</t>
  </si>
  <si>
    <t>LCRTR</t>
  </si>
  <si>
    <t>LRBLR</t>
  </si>
  <si>
    <t>LRBLRTLRBLR</t>
  </si>
  <si>
    <t>LRBLTLTRBLR</t>
  </si>
  <si>
    <t>LRCL</t>
  </si>
  <si>
    <t>LRCLR</t>
  </si>
  <si>
    <t>LRCLRTLRCLR</t>
  </si>
  <si>
    <t>LRCLTLTRCLR</t>
  </si>
  <si>
    <t>LRCR</t>
  </si>
  <si>
    <t>LTL</t>
  </si>
  <si>
    <t>LTLTLCR</t>
  </si>
  <si>
    <t xml:space="preserve">LTRCL </t>
  </si>
  <si>
    <t>LTRCLTR</t>
  </si>
  <si>
    <t>RBL</t>
  </si>
  <si>
    <t>RBLBR</t>
  </si>
  <si>
    <t>RBRBL</t>
  </si>
  <si>
    <t>RBRBR</t>
  </si>
  <si>
    <t>RCL</t>
  </si>
  <si>
    <t>RCLCR</t>
  </si>
  <si>
    <t>RCLR</t>
  </si>
  <si>
    <t>RCRCL</t>
  </si>
  <si>
    <t>RCRCR</t>
  </si>
  <si>
    <t>RTL</t>
  </si>
  <si>
    <t>RTLTL</t>
  </si>
  <si>
    <t>RTR</t>
  </si>
  <si>
    <t>RTRTL</t>
  </si>
  <si>
    <t>LLBRR</t>
  </si>
  <si>
    <t>LLBLL</t>
  </si>
  <si>
    <t>RRBRR</t>
  </si>
  <si>
    <t>RRBLL</t>
  </si>
  <si>
    <t>LLBLRBRR</t>
  </si>
  <si>
    <t>LRBLLRRBLR</t>
  </si>
  <si>
    <t>LLCRR</t>
  </si>
  <si>
    <t>LLCLL</t>
  </si>
  <si>
    <t>RRCRR</t>
  </si>
  <si>
    <t>RRCLL</t>
  </si>
  <si>
    <t>LLCLRCRR</t>
  </si>
  <si>
    <t>LRCLLRRCLR</t>
  </si>
  <si>
    <t>HingedLayoutCodes</t>
  </si>
  <si>
    <t>DoubleHingedLayoutCodes</t>
  </si>
  <si>
    <t>SlidingLayoutCodes</t>
  </si>
  <si>
    <t>MountingMethodLayoutCodeOption</t>
  </si>
  <si>
    <t>TrackBiFoldLayoutCodes</t>
  </si>
  <si>
    <t>FixedLayoutCodes</t>
  </si>
  <si>
    <t>Fluffy_Strip_Fauxwood_Lite</t>
  </si>
  <si>
    <t>Fluffy_Strip_Fauxwood_Eco</t>
  </si>
  <si>
    <t>Fluffy_Strip_Fauxwood_Night</t>
  </si>
  <si>
    <t>MountingMethodIN</t>
  </si>
  <si>
    <t>MountingMethodOUT</t>
  </si>
  <si>
    <t>MountingMethodMS</t>
  </si>
  <si>
    <t>MSNALayoutCodes</t>
  </si>
  <si>
    <t>WindowTypeNA</t>
  </si>
  <si>
    <t>NAFrameType</t>
  </si>
  <si>
    <t>Left Right Frame</t>
  </si>
  <si>
    <t>LRFNA</t>
  </si>
  <si>
    <t>NA_TF</t>
  </si>
  <si>
    <t>NA_BFT</t>
  </si>
  <si>
    <t>SOCNA</t>
  </si>
  <si>
    <t>Panel Quantity</t>
  </si>
  <si>
    <t>T Post Count</t>
  </si>
  <si>
    <t>T Post Alert</t>
  </si>
  <si>
    <t>Right Frame Highlight</t>
  </si>
  <si>
    <t>Top Frame Check</t>
  </si>
  <si>
    <t>Bottom Frame Check</t>
  </si>
  <si>
    <t>T Post Quantity</t>
  </si>
  <si>
    <t>50mm Black Walnut PS230</t>
  </si>
  <si>
    <t>63mm Black Walnut PS230</t>
  </si>
  <si>
    <t>63mm Precious Silver PS966</t>
  </si>
  <si>
    <t>50mm Precious Silver PS966</t>
  </si>
  <si>
    <t>This is designed to begin at the left and work towards the right as the options will change based on the selections.</t>
  </si>
  <si>
    <t>Item 
#</t>
  </si>
  <si>
    <t>HingeNA</t>
  </si>
  <si>
    <t>Inside &amp; Face Fit</t>
  </si>
  <si>
    <t>Check</t>
  </si>
  <si>
    <t>Check Hinge Highlight</t>
  </si>
  <si>
    <t>Hinge Highlight</t>
  </si>
  <si>
    <r>
      <t xml:space="preserve">PACIFIC BLINDS SALES COORDINATOR </t>
    </r>
    <r>
      <rPr>
        <b/>
        <i/>
        <sz val="10"/>
        <rFont val="Arial"/>
        <family val="2"/>
      </rPr>
      <t>(PWD Internal Use)</t>
    </r>
  </si>
  <si>
    <t>Allowance 
ACT / NAM</t>
  </si>
  <si>
    <t>Recess / 
Face</t>
  </si>
  <si>
    <t>Left Hand Or Right Hand</t>
  </si>
  <si>
    <t>Room 
Location</t>
  </si>
  <si>
    <t>WORKSHEET # / PO # :</t>
  </si>
  <si>
    <t>Please check all the necessary information
is on the Order before submitting.</t>
  </si>
  <si>
    <r>
      <t>Angle (</t>
    </r>
    <r>
      <rPr>
        <b/>
        <sz val="11"/>
        <rFont val="Calibri"/>
        <family val="2"/>
      </rPr>
      <t>°</t>
    </r>
    <r>
      <rPr>
        <b/>
        <sz val="11"/>
        <rFont val="Calibri"/>
        <family val="2"/>
        <scheme val="minor"/>
      </rPr>
      <t>)</t>
    </r>
  </si>
  <si>
    <t>Room Location</t>
  </si>
  <si>
    <t>DeliveryAddress</t>
  </si>
  <si>
    <t>BlindType</t>
  </si>
  <si>
    <t>Roller</t>
  </si>
  <si>
    <t>50mm PS Venetian</t>
  </si>
  <si>
    <t>63mm PS Venetian</t>
  </si>
  <si>
    <t>50mm Timber Venetian</t>
  </si>
  <si>
    <t>Vertical</t>
  </si>
  <si>
    <t>LHRHCorner</t>
  </si>
  <si>
    <t>FaceRecess</t>
  </si>
  <si>
    <t>ACTNAM</t>
  </si>
  <si>
    <t>ButtThru</t>
  </si>
  <si>
    <t>LH Corner</t>
  </si>
  <si>
    <t>Face</t>
  </si>
  <si>
    <t>Butt</t>
  </si>
  <si>
    <t>RH Corner</t>
  </si>
  <si>
    <t>Recess</t>
  </si>
  <si>
    <t>Thru</t>
  </si>
  <si>
    <t>SHUTTER ORDERS GO TO:</t>
  </si>
  <si>
    <t>shutterorders@pacificwholesale.com.au</t>
  </si>
  <si>
    <r>
      <t>CUSTOM MADE BLINDS GO TO:</t>
    </r>
    <r>
      <rPr>
        <b/>
        <sz val="10"/>
        <color indexed="10"/>
        <rFont val="Arial"/>
        <family val="2"/>
      </rPr>
      <t/>
    </r>
  </si>
  <si>
    <t xml:space="preserve"> +61 2 8850 9301</t>
  </si>
  <si>
    <t>Pivot Hinged</t>
  </si>
  <si>
    <t>Pivot_Hinged_Frame_Type</t>
  </si>
  <si>
    <t>PivotHingeColour</t>
  </si>
  <si>
    <t>SOCPivotHinged</t>
  </si>
  <si>
    <t>LD-R</t>
  </si>
  <si>
    <t>L-DR</t>
  </si>
  <si>
    <t>PivotHingedLayoutCodes</t>
  </si>
  <si>
    <t>LD-RTL</t>
  </si>
  <si>
    <t>L-DRTL</t>
  </si>
  <si>
    <t>LD-RTR</t>
  </si>
  <si>
    <t>L-DRTR</t>
  </si>
  <si>
    <t>LTLD-R</t>
  </si>
  <si>
    <t>LTL-DR</t>
  </si>
  <si>
    <t>RTLD-R</t>
  </si>
  <si>
    <t>RTL-DR</t>
  </si>
  <si>
    <t>LD-RTLD-R</t>
  </si>
  <si>
    <t>L-DRTL-DR</t>
  </si>
  <si>
    <t>LTLD-RTR</t>
  </si>
  <si>
    <t>LTL-DRTR</t>
  </si>
  <si>
    <t>RTLD-RTL</t>
  </si>
  <si>
    <t>RTL-DRTL</t>
  </si>
  <si>
    <t>LD-RTLD-RTL</t>
  </si>
  <si>
    <t>LD-RTLD-RTR</t>
  </si>
  <si>
    <t>L-DRTL-DRTR</t>
  </si>
  <si>
    <t>LTLD-RTLD-R</t>
  </si>
  <si>
    <t>LTL-DRTL-DR</t>
  </si>
  <si>
    <t>LD-RTLD-RTLD-R</t>
  </si>
  <si>
    <t>L-DRTL-DRTL-DR</t>
  </si>
  <si>
    <t>LTLD-RTLD-RTR</t>
  </si>
  <si>
    <t>LTL-DRTL-DRTR</t>
  </si>
  <si>
    <t>LTLD-RTRTLTLD-RTR</t>
  </si>
  <si>
    <t>LTL-DRTRTLTL-DRTR</t>
  </si>
  <si>
    <t>If Recess: 
Front/Back Measure</t>
  </si>
  <si>
    <t>WORKSHEET # / PO #:</t>
  </si>
  <si>
    <t>Non Standard Layout Code Lookup</t>
  </si>
  <si>
    <t>Check Highlight</t>
  </si>
  <si>
    <t>LLD-RR</t>
  </si>
  <si>
    <t>Version</t>
  </si>
  <si>
    <t>Panel Height Highlight</t>
  </si>
  <si>
    <t>TopFrameNoFrame</t>
  </si>
  <si>
    <t>TopFrameHangingStrip</t>
  </si>
  <si>
    <t>TopFrameSmallLFrame</t>
  </si>
  <si>
    <t>TopFrameSmallFFLFrame</t>
  </si>
  <si>
    <t>TopFrameMediumLFrame</t>
  </si>
  <si>
    <t>TopFrameMediumFFLFrame</t>
  </si>
  <si>
    <t>TopFrameLargeLFrame</t>
  </si>
  <si>
    <t>TopFrameLargeFFLFrame</t>
  </si>
  <si>
    <t>TopFrameStandardZFrame</t>
  </si>
  <si>
    <t>TopFrameLargeZFrame</t>
  </si>
  <si>
    <t>TopFrameBullnoseZFrame</t>
  </si>
  <si>
    <t>TopFrameUChannel</t>
  </si>
  <si>
    <t>TopFrame100mm</t>
  </si>
  <si>
    <t>TopFrame140mm</t>
  </si>
  <si>
    <t>TopFrame180mm</t>
  </si>
  <si>
    <t>TopFrame220mm</t>
  </si>
  <si>
    <t>TopFrameNA</t>
  </si>
  <si>
    <t>Bottom Frame</t>
  </si>
  <si>
    <t>BottomFrameNoFrame</t>
  </si>
  <si>
    <t>BottomFrameHangingStrip</t>
  </si>
  <si>
    <t>BottomFrameSmallLFrame</t>
  </si>
  <si>
    <t>BottomFrameSmallFFLFrame</t>
  </si>
  <si>
    <t>BottomFrameMediumLFrame</t>
  </si>
  <si>
    <t>BottomFrameMediumFFLFrame</t>
  </si>
  <si>
    <t>BottomFrameLargeLFrame</t>
  </si>
  <si>
    <t>BottomFrameLargeFFLFrame</t>
  </si>
  <si>
    <t>BottomFrameStandardZFrame</t>
  </si>
  <si>
    <t>BottomFrameLargeZFrame</t>
  </si>
  <si>
    <t>BottomFrameBullnoseZFrame</t>
  </si>
  <si>
    <t>BottomFrameUChannel</t>
  </si>
  <si>
    <t>BottomFrameSliding</t>
  </si>
  <si>
    <t>BottomFrameTrackBiFold</t>
  </si>
  <si>
    <t>BottomFrameNA</t>
  </si>
  <si>
    <t>PivotHingedTopBottomFrame</t>
  </si>
  <si>
    <t>Pelmet Insert Alert</t>
  </si>
  <si>
    <t>LD-RR</t>
  </si>
  <si>
    <t>L-DRR</t>
  </si>
  <si>
    <t>LLD-R</t>
  </si>
  <si>
    <t>LL-DR</t>
  </si>
  <si>
    <t>LL-DRR</t>
  </si>
  <si>
    <t>50mm &amp; 63mm Venetian Blinds</t>
  </si>
  <si>
    <t>Venetian Product</t>
  </si>
  <si>
    <t>VenetianProduct</t>
  </si>
  <si>
    <t>Colour By Product</t>
  </si>
  <si>
    <t>25mm Aluminium Venetians</t>
  </si>
  <si>
    <t>Additional Headboard 140mm x 19mm</t>
  </si>
  <si>
    <t>Additional Headboard 140mm x 19mm Material</t>
  </si>
  <si>
    <t>FauxwoodLiteTiltrod</t>
  </si>
  <si>
    <t>Tiltrod Match Material</t>
  </si>
  <si>
    <t>Tiltrod Match Blade</t>
  </si>
  <si>
    <t>INDEX Tiltrod</t>
  </si>
  <si>
    <t>Copyright © Pacific Wholesale Distributors 2008.
Unauthorised use and/or duplication of this material without the express written permission from the owner is strictly prohibited.</t>
  </si>
  <si>
    <t>Venice</t>
  </si>
  <si>
    <t>Florence</t>
  </si>
  <si>
    <t>Milan</t>
  </si>
  <si>
    <t>Pompeii</t>
  </si>
  <si>
    <t>Amalfi</t>
  </si>
  <si>
    <t>Kai</t>
  </si>
  <si>
    <t xml:space="preserve">Black </t>
  </si>
  <si>
    <t xml:space="preserve">Almond </t>
  </si>
  <si>
    <t>Brown</t>
  </si>
  <si>
    <t xml:space="preserve">Charcoal </t>
  </si>
  <si>
    <t>Grey</t>
  </si>
  <si>
    <t>Charcoal</t>
  </si>
  <si>
    <t>Bone</t>
  </si>
  <si>
    <t>Chinchilla</t>
  </si>
  <si>
    <t>Ice</t>
  </si>
  <si>
    <t>Chocolate</t>
  </si>
  <si>
    <t xml:space="preserve">Steel Grey </t>
  </si>
  <si>
    <t>Latte</t>
  </si>
  <si>
    <t>Linen</t>
  </si>
  <si>
    <t>Marshmallow</t>
  </si>
  <si>
    <t xml:space="preserve">Mocha </t>
  </si>
  <si>
    <t xml:space="preserve">Coffee </t>
  </si>
  <si>
    <t>Vanilla</t>
  </si>
  <si>
    <t>Oyster</t>
  </si>
  <si>
    <t xml:space="preserve">Pearl </t>
  </si>
  <si>
    <t xml:space="preserve">Stone </t>
  </si>
  <si>
    <t xml:space="preserve">Oyster </t>
  </si>
  <si>
    <t xml:space="preserve">White </t>
  </si>
  <si>
    <t>Papyrus</t>
  </si>
  <si>
    <t>Sand</t>
  </si>
  <si>
    <t xml:space="preserve">Vanilla </t>
  </si>
  <si>
    <t xml:space="preserve">Parchment </t>
  </si>
  <si>
    <t xml:space="preserve">Slate </t>
  </si>
  <si>
    <t xml:space="preserve">Sand </t>
  </si>
  <si>
    <t xml:space="preserve">Snow </t>
  </si>
  <si>
    <t>Shadow</t>
  </si>
  <si>
    <t>Stone</t>
  </si>
  <si>
    <t xml:space="preserve">Silk </t>
  </si>
  <si>
    <t xml:space="preserve">Truffle </t>
  </si>
  <si>
    <t>ControlOption</t>
  </si>
  <si>
    <t>Rome (Blockout)</t>
  </si>
  <si>
    <t>Como (Blockout)</t>
  </si>
  <si>
    <t>Motor - Left Hand, Single Channel, Hand Held</t>
  </si>
  <si>
    <t>Motor - Left Hand, 5 Channel, Hand Held</t>
  </si>
  <si>
    <t>Motor - Left Hand, Single Channel, Wall Mounted</t>
  </si>
  <si>
    <t>Motor - Left Hand, 5 Channel, Wall Mounted</t>
  </si>
  <si>
    <t>Motor - Right Hand, Single Channel, Hand Held</t>
  </si>
  <si>
    <t>Motor - Right Hand, 5 Channel, Hand Held</t>
  </si>
  <si>
    <t>Motor - Right Hand, Single Channel, Wall Mounted</t>
  </si>
  <si>
    <t>Motor - Right Hand, 5 Channel, Wall Mounted</t>
  </si>
  <si>
    <t>Como (Translucent)</t>
  </si>
  <si>
    <t>Rome (Translucent)</t>
  </si>
  <si>
    <t>Sunscreen Bronze</t>
  </si>
  <si>
    <t>Sunscreen Charcoal</t>
  </si>
  <si>
    <t>Sunscreen Fox</t>
  </si>
  <si>
    <t>Sunscreen Jasper</t>
  </si>
  <si>
    <t>Sunscreen Vanilla</t>
  </si>
  <si>
    <t>Sunscreen White</t>
  </si>
  <si>
    <t>Sunscreen Pumice</t>
  </si>
  <si>
    <t>Sunscreen Slate</t>
  </si>
  <si>
    <t>Sunscreen Storm</t>
  </si>
  <si>
    <t>SetPelmetOption</t>
  </si>
  <si>
    <t>RollerUniversalPelmet</t>
  </si>
  <si>
    <t>RollerPelmetColourCommon</t>
  </si>
  <si>
    <t>RollerPelmetColourStandard</t>
  </si>
  <si>
    <t>RollerPelmetColourNo</t>
  </si>
  <si>
    <t>RollerPelmetInsertCommon</t>
  </si>
  <si>
    <t>RollerPelmetInsertStandard</t>
  </si>
  <si>
    <t>RollerPelmetInsertNo</t>
  </si>
  <si>
    <t>RollerBracketTypeParis</t>
  </si>
  <si>
    <t>RollerBracketType2</t>
  </si>
  <si>
    <t>Naples</t>
  </si>
  <si>
    <t>Cotton</t>
  </si>
  <si>
    <t>Angora</t>
  </si>
  <si>
    <t>Merino</t>
  </si>
  <si>
    <t>Marten</t>
  </si>
  <si>
    <t>Suede</t>
  </si>
  <si>
    <t>Mink</t>
  </si>
  <si>
    <t>Possum</t>
  </si>
  <si>
    <t>PelmetInsertHughlightTable</t>
  </si>
  <si>
    <t>Vlookup</t>
  </si>
  <si>
    <t>Pelmet Colour Alert</t>
  </si>
  <si>
    <t>Cellular Blinds</t>
  </si>
  <si>
    <t>CellularBlindProduct</t>
  </si>
  <si>
    <t>25mm Single Cellular Blind</t>
  </si>
  <si>
    <t>38mm Single Cellular Blind</t>
  </si>
  <si>
    <t>38mm Double Cellular Blind</t>
  </si>
  <si>
    <t>Blockout Standard</t>
  </si>
  <si>
    <t>Translucent Standard</t>
  </si>
  <si>
    <t>Operation</t>
  </si>
  <si>
    <t>CellularOperation</t>
  </si>
  <si>
    <t>Clutch Day &amp; Night</t>
  </si>
  <si>
    <t>Clutch Top Down, Bottom Up</t>
  </si>
  <si>
    <t>Cordless Day &amp; Night</t>
  </si>
  <si>
    <t>Cordless Top Down, Bottom Up</t>
  </si>
  <si>
    <t>Translucent Crush</t>
  </si>
  <si>
    <t>Translucent Thatched</t>
  </si>
  <si>
    <t>Translucent Paisley</t>
  </si>
  <si>
    <t>Translucent Sheer</t>
  </si>
  <si>
    <t>Translucent Linen</t>
  </si>
  <si>
    <t>Translucent Woven</t>
  </si>
  <si>
    <t>LuminosityAndFabric</t>
  </si>
  <si>
    <t>Control</t>
  </si>
  <si>
    <t>CellularControl</t>
  </si>
  <si>
    <t>Both Left</t>
  </si>
  <si>
    <t>Both Right</t>
  </si>
  <si>
    <t>Top Left, Bottom Right</t>
  </si>
  <si>
    <t>Top Right, Bottom Left</t>
  </si>
  <si>
    <t>CellularControlLength</t>
  </si>
  <si>
    <t>Motorised Hardwired</t>
  </si>
  <si>
    <t>Motorised Battery</t>
  </si>
  <si>
    <t>Cordless Standard</t>
  </si>
  <si>
    <t>Clutch Standard</t>
  </si>
  <si>
    <t>Cord Standard</t>
  </si>
  <si>
    <t>Cord Day &amp; Night</t>
  </si>
  <si>
    <t>Cord Top Down, Bottom Up</t>
  </si>
  <si>
    <t>Corded Standard</t>
  </si>
  <si>
    <t>Corded Top Down, Bottom Up</t>
  </si>
  <si>
    <t>Fabric</t>
  </si>
  <si>
    <t>Oversize Check</t>
  </si>
  <si>
    <t>Colour/Top Colour</t>
  </si>
  <si>
    <t xml:space="preserve">Bottom Colour </t>
  </si>
  <si>
    <t>Cordless Day Night</t>
  </si>
  <si>
    <t>Corded Day Night</t>
  </si>
  <si>
    <t>Clutch Day Night</t>
  </si>
  <si>
    <t>Blockout Top &amp; Translucent Bottom</t>
  </si>
  <si>
    <t>OtherControl</t>
  </si>
  <si>
    <t>Agate Red</t>
  </si>
  <si>
    <t>Alabaster</t>
  </si>
  <si>
    <t xml:space="preserve">Avocado </t>
  </si>
  <si>
    <t xml:space="preserve">Bordeaux </t>
  </si>
  <si>
    <t>Cocoa</t>
  </si>
  <si>
    <t>Fawn</t>
  </si>
  <si>
    <t>Jean Blue</t>
  </si>
  <si>
    <t xml:space="preserve">Biscuit </t>
  </si>
  <si>
    <t>Pongee</t>
  </si>
  <si>
    <t>White Dove</t>
  </si>
  <si>
    <t xml:space="preserve">Snow White </t>
  </si>
  <si>
    <t>Onion</t>
  </si>
  <si>
    <t>Royal Purple</t>
  </si>
  <si>
    <t>Terra Cotta</t>
  </si>
  <si>
    <t>Winter White</t>
  </si>
  <si>
    <t xml:space="preserve">Cream </t>
  </si>
  <si>
    <t>Federal Blue</t>
  </si>
  <si>
    <t xml:space="preserve">Gray Sheen </t>
  </si>
  <si>
    <t>Ironstone</t>
  </si>
  <si>
    <t xml:space="preserve">Ocher </t>
  </si>
  <si>
    <t>Musk</t>
  </si>
  <si>
    <t xml:space="preserve">Marine Blue </t>
  </si>
  <si>
    <t xml:space="preserve">Pink Flamingo </t>
  </si>
  <si>
    <t>Roseate</t>
  </si>
  <si>
    <t>Sangria</t>
  </si>
  <si>
    <t>Stone Red</t>
  </si>
  <si>
    <t>Sweetmint</t>
  </si>
  <si>
    <t>Royal Gray</t>
  </si>
  <si>
    <t>Water Green</t>
  </si>
  <si>
    <t>Wisteria</t>
  </si>
  <si>
    <t xml:space="preserve">Spring Green </t>
  </si>
  <si>
    <t xml:space="preserve">Tan </t>
  </si>
  <si>
    <t>Match Product</t>
  </si>
  <si>
    <t>Match Fabric</t>
  </si>
  <si>
    <t>INDEX Product &amp; Fabric</t>
  </si>
  <si>
    <t xml:space="preserve"> 25mm Single Cellular Blind Blockout Standard</t>
  </si>
  <si>
    <t>Colour 2</t>
  </si>
  <si>
    <t>Colour2 38mm Single Cellular Blind Translucent Standard</t>
  </si>
  <si>
    <t>Sheer Alabaster</t>
  </si>
  <si>
    <t>Sheer Cocoa</t>
  </si>
  <si>
    <t>Sheer Cotton</t>
  </si>
  <si>
    <t>Sheer Fawn</t>
  </si>
  <si>
    <t xml:space="preserve">Sheer Snow White </t>
  </si>
  <si>
    <t>Colour2 38mm Single Cellular Blind Translucent Sheer</t>
  </si>
  <si>
    <t>Colour2 25mm Single Cellular Blind Translucent Standard</t>
  </si>
  <si>
    <t>Colour2 25mm Single Cellular Blind Translucent Sheer</t>
  </si>
  <si>
    <t>Colour2 38mm Single Cellular Blind Translucent Woven</t>
  </si>
  <si>
    <t>Colour2 25mm Single Cellular Blind Translucent Woven</t>
  </si>
  <si>
    <t>Colour2 38mm Single Cellular Blind Translucent Linen</t>
  </si>
  <si>
    <t>Colour2 38mm Single Cellular Blind Translucent Thatched</t>
  </si>
  <si>
    <t>Colour2 38mm Single Cellular Blind Translucent Paisley</t>
  </si>
  <si>
    <t>Colour2 25mm Single Cellular Blind Translucent Paisley</t>
  </si>
  <si>
    <t>Colour2 38mm Single Cellular Blind Translucent Crush</t>
  </si>
  <si>
    <t>Colour2 38mm Double Cellular Blind Translucent Standard</t>
  </si>
  <si>
    <t>Standard Agate Red</t>
  </si>
  <si>
    <t>Standard Alabaster</t>
  </si>
  <si>
    <t xml:space="preserve">Standard Avocado </t>
  </si>
  <si>
    <t>Standard Black</t>
  </si>
  <si>
    <t>Standard Cocoa</t>
  </si>
  <si>
    <t>Standard Cotton</t>
  </si>
  <si>
    <t xml:space="preserve">Standard Cream </t>
  </si>
  <si>
    <t xml:space="preserve">Standard Gray Sheen </t>
  </si>
  <si>
    <t>Standard Ironstone</t>
  </si>
  <si>
    <t>Standard Jean Blue</t>
  </si>
  <si>
    <t>Standard Musk</t>
  </si>
  <si>
    <t>Standard Pongee</t>
  </si>
  <si>
    <t>Standard Roseate</t>
  </si>
  <si>
    <t>Standard Royal Purple</t>
  </si>
  <si>
    <t xml:space="preserve">Standard Snow White </t>
  </si>
  <si>
    <t>Standard Sangria</t>
  </si>
  <si>
    <t>Standard Stone Red</t>
  </si>
  <si>
    <t>Standard Sweetmint</t>
  </si>
  <si>
    <t>Standard Water Green</t>
  </si>
  <si>
    <t>Standard Wisteria</t>
  </si>
  <si>
    <t>Crush Cocoa</t>
  </si>
  <si>
    <t>Crush Cotton</t>
  </si>
  <si>
    <t>Crush Fawn</t>
  </si>
  <si>
    <t>Crush White Dove</t>
  </si>
  <si>
    <t>Crush Winter White</t>
  </si>
  <si>
    <t>CellularMotorOptions</t>
  </si>
  <si>
    <t>Battery Operated Motor - Left</t>
  </si>
  <si>
    <t>Battery Operated Motor - Right</t>
  </si>
  <si>
    <t>Motor Control</t>
  </si>
  <si>
    <t>Control Corded Standard</t>
  </si>
  <si>
    <t>Control Corded Day Night</t>
  </si>
  <si>
    <t>Control Corded Top Down, Bottom Up</t>
  </si>
  <si>
    <t>Control Cordless Standard</t>
  </si>
  <si>
    <t>Control Cordless Day Night</t>
  </si>
  <si>
    <t>Control Cordless Top Down, Bottom Up</t>
  </si>
  <si>
    <t>Control Clutch Standard</t>
  </si>
  <si>
    <t>Control Clutch Day Night</t>
  </si>
  <si>
    <t>Control Clutch Top Down, Bottom Up</t>
  </si>
  <si>
    <t>Control Motorised Battery</t>
  </si>
  <si>
    <t>Control Motorised Hardwired</t>
  </si>
  <si>
    <t xml:space="preserve">Woven Avocado </t>
  </si>
  <si>
    <t>Woven Cocoa</t>
  </si>
  <si>
    <t>Woven Cotton</t>
  </si>
  <si>
    <t>Woven Fawn</t>
  </si>
  <si>
    <t>Woven Onion</t>
  </si>
  <si>
    <t>Linen Agate Red</t>
  </si>
  <si>
    <t xml:space="preserve">Linen Avocado </t>
  </si>
  <si>
    <t>Linen Cocoa</t>
  </si>
  <si>
    <t>Linen Jean Blue</t>
  </si>
  <si>
    <t>Linen Royal Purple</t>
  </si>
  <si>
    <t xml:space="preserve">Thatched Avocado </t>
  </si>
  <si>
    <t>Thatched Cocoa</t>
  </si>
  <si>
    <t>Thatched Fawn</t>
  </si>
  <si>
    <t>Thatched Pongee</t>
  </si>
  <si>
    <t>Thatched Terra Cotta</t>
  </si>
  <si>
    <t xml:space="preserve">Paisley Bordeaux </t>
  </si>
  <si>
    <t>Paisley Cocoa</t>
  </si>
  <si>
    <t>Paisley Fawn</t>
  </si>
  <si>
    <t>Paisley Pongee</t>
  </si>
  <si>
    <t>Paisley Royal Purple</t>
  </si>
  <si>
    <t xml:space="preserve">Standard Biscuit </t>
  </si>
  <si>
    <t xml:space="preserve">Standard Bordeaux </t>
  </si>
  <si>
    <t>Standard Fawn</t>
  </si>
  <si>
    <t xml:space="preserve">Standard Marine Blue </t>
  </si>
  <si>
    <t xml:space="preserve">Standard Ocher </t>
  </si>
  <si>
    <t>Standard Onion</t>
  </si>
  <si>
    <t xml:space="preserve">Standard Pink Flamingo </t>
  </si>
  <si>
    <t>Standard Royal Gray</t>
  </si>
  <si>
    <t xml:space="preserve">Standard Spring Green </t>
  </si>
  <si>
    <t xml:space="preserve">Standard Tan </t>
  </si>
  <si>
    <t>Standard Terra Cotta</t>
  </si>
  <si>
    <t>Colour2 25mm Single Cellular Blind Translucent Thatched</t>
  </si>
  <si>
    <t xml:space="preserve"> 38mm Double Cellular Blind Blockout Standard</t>
  </si>
  <si>
    <t xml:space="preserve"> 38mm Double Cellular Blind Translucent Standard</t>
  </si>
  <si>
    <t xml:space="preserve"> 38mm Single Cellular Blind Translucent Crush</t>
  </si>
  <si>
    <t xml:space="preserve"> 25mm Single Cellular Blind Translucent Paisley</t>
  </si>
  <si>
    <t xml:space="preserve"> 25mm Single Cellular Blind Translucent Thatched</t>
  </si>
  <si>
    <t xml:space="preserve"> 38mm Single Cellular Blind Translucent Paisley</t>
  </si>
  <si>
    <t xml:space="preserve"> 38mm Single Cellular Blind Translucent Thatched</t>
  </si>
  <si>
    <t xml:space="preserve"> 38mm Single Cellular Blind Translucent Linen</t>
  </si>
  <si>
    <t xml:space="preserve"> 25mm Single Cellular Blind Translucent Woven</t>
  </si>
  <si>
    <t xml:space="preserve"> 38mm Single Cellular Blind Translucent Woven</t>
  </si>
  <si>
    <t xml:space="preserve"> 25mm Single Cellular Blind Translucent Sheer</t>
  </si>
  <si>
    <t xml:space="preserve"> 38mm Single Cellular Blind Translucent Sheer</t>
  </si>
  <si>
    <t xml:space="preserve"> 38mm Single Cellular Blind Blockout Standard</t>
  </si>
  <si>
    <t xml:space="preserve"> 25mm Single Cellular Blind Translucent Standard</t>
  </si>
  <si>
    <t xml:space="preserve"> 38mm Single Cellular Blind Translucent Standard</t>
  </si>
  <si>
    <t>Corded Standard 25mm Single</t>
  </si>
  <si>
    <t>Corded Day Night 25mm Single</t>
  </si>
  <si>
    <t>Cordless Day Night 25mm Single</t>
  </si>
  <si>
    <t>Clutch Standard 25mm Single</t>
  </si>
  <si>
    <t>Clutch Day Night 25mm Single</t>
  </si>
  <si>
    <t>Motorised Battery 25mm Single</t>
  </si>
  <si>
    <t>Cordless Standard 25mm Single</t>
  </si>
  <si>
    <t>Corded Top Down Bottom Up 25mm Single</t>
  </si>
  <si>
    <t>Motorised Hardwired 25mm Single</t>
  </si>
  <si>
    <t>Clutch Top Down Bottom Up 25mm Single</t>
  </si>
  <si>
    <t>Cordless Top Down Bottom Up 25mm Single</t>
  </si>
  <si>
    <t>Corded Standard 38mm Single</t>
  </si>
  <si>
    <t>Corded Day Night 38mm Single</t>
  </si>
  <si>
    <t>Corded Top Down Bottom Up 38mm Single</t>
  </si>
  <si>
    <t>Cordless Standard 38mm Single</t>
  </si>
  <si>
    <t>Cordless Day Night 38mm Single</t>
  </si>
  <si>
    <t>Cordless Top Down Bottom Up 38mm Single</t>
  </si>
  <si>
    <t>Clutch Standard 38mm Single</t>
  </si>
  <si>
    <t>Clutch Day Night 38mm Single</t>
  </si>
  <si>
    <t>Clutch Top Down Bottom Up 38mm Single</t>
  </si>
  <si>
    <t>Motorised Battery 38mm Single</t>
  </si>
  <si>
    <t>Motorised Hardwired 38mm Single</t>
  </si>
  <si>
    <t>Corded Standard 38mm Double</t>
  </si>
  <si>
    <t>Corded Day Night 38mm Double</t>
  </si>
  <si>
    <t>Corded Top Down Bottom Up 38mm Double</t>
  </si>
  <si>
    <t>Cordless Standard 38mm Double</t>
  </si>
  <si>
    <t>Cordless Day Night 38mm Double</t>
  </si>
  <si>
    <t>Cordless Top Down Bottom Up 38mm Double</t>
  </si>
  <si>
    <t>Clutch Standard 38mm Double</t>
  </si>
  <si>
    <t>Clutch Day Night 38mm Double</t>
  </si>
  <si>
    <t>Clutch Top Down Bottom Up 38mm Double</t>
  </si>
  <si>
    <t>Motorised Battery 38mm Double</t>
  </si>
  <si>
    <t>Motorised Hardwired 38mm Double</t>
  </si>
  <si>
    <t>Match Operation</t>
  </si>
  <si>
    <t>INDEX Operation &amp; Product</t>
  </si>
  <si>
    <t>Name</t>
  </si>
  <si>
    <t>Cellular Colour 2 25mm Single Cellular Blind</t>
  </si>
  <si>
    <t>Cellular Colour 2 38mm Double Cellular Blind</t>
  </si>
  <si>
    <t>Cellular Colour 2 38mm Single Cellular Blind</t>
  </si>
  <si>
    <t>Cellular Colour 2 NA</t>
  </si>
  <si>
    <t>Blue</t>
  </si>
  <si>
    <t>Corded Standard Control</t>
  </si>
  <si>
    <t>Corded Day Night Control</t>
  </si>
  <si>
    <t>Cordless Standard Control</t>
  </si>
  <si>
    <t>Cordless Day Night Control</t>
  </si>
  <si>
    <t>Clutch Standard Control</t>
  </si>
  <si>
    <t>Clutch Day Night Control</t>
  </si>
  <si>
    <t>Motorised Battery Control</t>
  </si>
  <si>
    <t>Motorised Hardwired Control</t>
  </si>
  <si>
    <t>Control Option</t>
  </si>
  <si>
    <t>Total SQM</t>
  </si>
  <si>
    <t>Size</t>
  </si>
  <si>
    <t>Calculate</t>
  </si>
  <si>
    <t>Check Size</t>
  </si>
  <si>
    <t>RollerChain Motor Left Hand Single Channel Hand Held</t>
  </si>
  <si>
    <t>RollerChain Motor Left Hand 5 Channel Hand Held</t>
  </si>
  <si>
    <t>RollerChain Motor Left Hand Single Channel Wall Mounted</t>
  </si>
  <si>
    <t>RollerChain Motor Left Hand 5 Channel Wall Mounted</t>
  </si>
  <si>
    <t>RollerChain Motor Right Hand Single Channel Hand Held</t>
  </si>
  <si>
    <t>RollerChain Motor Right Hand 5 Channel Hand Held</t>
  </si>
  <si>
    <t>RollerChain Motor Right Hand 5 Channel Wall Mounted</t>
  </si>
  <si>
    <t>Default, 500mm, 750mm, 1000mm, 1250mm, 1500mm, 2000mm</t>
  </si>
  <si>
    <t>500mm</t>
  </si>
  <si>
    <t>750mm</t>
  </si>
  <si>
    <t>1000mm</t>
  </si>
  <si>
    <t>1250mm</t>
  </si>
  <si>
    <t>1500mm</t>
  </si>
  <si>
    <t>2000mm</t>
  </si>
  <si>
    <t>RollerChain Left</t>
  </si>
  <si>
    <t>RollerChain Right</t>
  </si>
  <si>
    <t>RollerChainColour Left</t>
  </si>
  <si>
    <t>RollerChainColour Right</t>
  </si>
  <si>
    <t>RollerChainColour Motor Left Hand Single Channel Hand Held</t>
  </si>
  <si>
    <t>RollerChainColour Motor Left Hand 5 Channel Hand Held</t>
  </si>
  <si>
    <t>RollerChainColour Motor Left Hand Single Channel Wall Mounted</t>
  </si>
  <si>
    <t>RollerChainColour Motor Left Hand 5 Channel Wall Mounted</t>
  </si>
  <si>
    <t>RollerChainColour Motor Right Hand Single Channel Hand Held</t>
  </si>
  <si>
    <t>RollerChainColour Motor Right Hand 5 Channel Hand Held</t>
  </si>
  <si>
    <t>RollerChainColour Motor Right Hand Single Channel Wall Mounted</t>
  </si>
  <si>
    <t>RollerChain Motor Right Hand Single Channel Wall Mounted</t>
  </si>
  <si>
    <t>RollerChainColour Motor Right Hand 5 Channel Wall Mounted</t>
  </si>
  <si>
    <t>Nickel Plated Brass</t>
  </si>
  <si>
    <t>Chain</t>
  </si>
  <si>
    <t>Alexandra Wacher</t>
  </si>
  <si>
    <t>HelperSpringControlNo</t>
  </si>
  <si>
    <t>HelperSpringControlYes</t>
  </si>
  <si>
    <t>Helper Spring Yes No</t>
  </si>
  <si>
    <t>Translucent Top &amp; Blockout Bottom</t>
  </si>
  <si>
    <t>Corded Top Down Bottom Up Control</t>
  </si>
  <si>
    <t>Cordless Top Down Bottom Up Control</t>
  </si>
  <si>
    <t>Clutch Top Down Bottom Up Control</t>
  </si>
  <si>
    <t>Maximum</t>
  </si>
  <si>
    <t>Oval Bottom Rail 2</t>
  </si>
  <si>
    <t>Oval Bottom Rail Match Product</t>
  </si>
  <si>
    <t>Match Finish</t>
  </si>
  <si>
    <t>INDEX</t>
  </si>
  <si>
    <t>Hardwired Motor - Left Side Wand</t>
  </si>
  <si>
    <t>Hardwired Motor - Right Side Wand</t>
  </si>
  <si>
    <t>Battery Operated Motor - Left Side Wand</t>
  </si>
  <si>
    <t>Battery Operated Motor - Right Side Wand</t>
  </si>
  <si>
    <t>38mm Single</t>
  </si>
  <si>
    <t>Motor - Left Hand, 6 Channel, Black Hand Held Remote</t>
  </si>
  <si>
    <t>Motor - Right Hand, 6 Channel, Black Hand Held Remote</t>
  </si>
  <si>
    <t>Motor - Left Hand, 6 Channel, White Hand Held Remote</t>
  </si>
  <si>
    <t>Motor - Right Hand, 6 Channel, White Hand Held Remote</t>
  </si>
  <si>
    <t>Check Combo</t>
  </si>
  <si>
    <t>Check Combo 2</t>
  </si>
  <si>
    <t>Two Combo Check</t>
  </si>
  <si>
    <t>Combo Panel Multiplier</t>
  </si>
  <si>
    <t>Basswood Luxury Combo</t>
  </si>
  <si>
    <t>Check Yes</t>
  </si>
  <si>
    <t>Standard Control</t>
  </si>
  <si>
    <t>Motor - Left Hand, Black Hand Held Remote, 6 Channel</t>
  </si>
  <si>
    <t>Motor - Right Hand, Black Hand Held Remote, 6 Channel</t>
  </si>
  <si>
    <t>Motor - Left Hand, White Hand Held Remote, 6 Channel</t>
  </si>
  <si>
    <t>Motor - Right Hand, White Hand Held Remote, 6 Channel</t>
  </si>
  <si>
    <t>Cordless Wand Operated</t>
  </si>
  <si>
    <t>Cordless Wand Operated Control</t>
  </si>
  <si>
    <t>Motor - Left Hand, No Remote</t>
  </si>
  <si>
    <t>Motor - Right Hand, No Remote</t>
  </si>
  <si>
    <t>38mm Double</t>
  </si>
  <si>
    <t>25mm Single</t>
  </si>
  <si>
    <t>Panel Glide Blinds</t>
  </si>
  <si>
    <t>Panel Glide Blind Product</t>
  </si>
  <si>
    <t>Panel
Layout</t>
  </si>
  <si>
    <t>Bottom Rail</t>
  </si>
  <si>
    <t>Panel Glide Bottom Rail Colour</t>
  </si>
  <si>
    <t>Panel Glide Sewn In Pocket</t>
  </si>
  <si>
    <t>Panel_Quantity_2</t>
  </si>
  <si>
    <t>Panel_Quantity_3</t>
  </si>
  <si>
    <t>Panel_Quantity_4</t>
  </si>
  <si>
    <t>Panel_Quantity_5</t>
  </si>
  <si>
    <t>Panel_Quantity_6</t>
  </si>
  <si>
    <t>Panel_Quantity_7</t>
  </si>
  <si>
    <t>Panel_Quantity_8</t>
  </si>
  <si>
    <t>Panel_Quantity_9</t>
  </si>
  <si>
    <t>Panel Configuration</t>
  </si>
  <si>
    <t>Panel Qty</t>
  </si>
  <si>
    <t>Min Width</t>
  </si>
  <si>
    <t>Max Width</t>
  </si>
  <si>
    <t>Calculate Width Min</t>
  </si>
  <si>
    <t>Calculate Width Max</t>
  </si>
  <si>
    <t>Size Check Width Max</t>
  </si>
  <si>
    <t>Size Check Width Min</t>
  </si>
  <si>
    <t>Standard Hinge Large 90mm</t>
  </si>
  <si>
    <t>Cellular</t>
  </si>
  <si>
    <t>Panel Glide</t>
  </si>
  <si>
    <t>Motor - Left Hand, Home Automation</t>
  </si>
  <si>
    <t>Motor - Right Hand, Home Automation</t>
  </si>
  <si>
    <t>RollerChain Motor Left Home Automation</t>
  </si>
  <si>
    <t>RollerChain Motor Right Home Automation</t>
  </si>
  <si>
    <t>RollerChainColour Left Home Automation</t>
  </si>
  <si>
    <t>RollerChainColour Right Home Automation</t>
  </si>
  <si>
    <t>Top Track 
Colour</t>
  </si>
  <si>
    <t>2 Panels, 3 Track, Left Stack</t>
  </si>
  <si>
    <t>3 Panels, 3 Track, Left Stack</t>
  </si>
  <si>
    <t>4 Panels, 6 Track, Left Stack</t>
  </si>
  <si>
    <t>5 Panels, 6 Track, Left Stack</t>
  </si>
  <si>
    <t>6 Panels, 6 Track, Left Stack</t>
  </si>
  <si>
    <t>7 Panels, 6 Track, Centre Opening</t>
  </si>
  <si>
    <t>8 Panels, 6 Track, Centre Opening</t>
  </si>
  <si>
    <t>9 Panels, 6 Track, Centre Opening</t>
  </si>
  <si>
    <t>2 Panels, 3 Track, Right Stack</t>
  </si>
  <si>
    <t>3 Panels, 3 Track, Right Stack</t>
  </si>
  <si>
    <t>4 Panels, 6 Track, Right Stack</t>
  </si>
  <si>
    <t>5 Panels, 6 Track, Right Stack</t>
  </si>
  <si>
    <t>6 Panels, 6 Track, Right Stack</t>
  </si>
  <si>
    <t>5 Panels, 6 Track, Centre Opening</t>
  </si>
  <si>
    <t>Check Panel Size Against Width</t>
  </si>
  <si>
    <t>Calculate Small</t>
  </si>
  <si>
    <t>Calculate Big</t>
  </si>
  <si>
    <t>Check Size Highlight</t>
  </si>
  <si>
    <t>3 Panels, 3 Track, Centre Opening</t>
  </si>
  <si>
    <t>Beth Anderson</t>
  </si>
  <si>
    <t>Large Bullnose Z Frame</t>
  </si>
  <si>
    <t>LRFLargeBullnoseZFrame</t>
  </si>
  <si>
    <t>TopFrameLargeBullnoseZFrame</t>
  </si>
  <si>
    <t>BottomFrameLargeBullnoseZFrame</t>
  </si>
  <si>
    <t>Frame Type Match Product</t>
  </si>
  <si>
    <t>Frame Type Match Mounting Method</t>
  </si>
  <si>
    <t>Frame Type Index</t>
  </si>
  <si>
    <t>Large Bullnose Z Frame Material</t>
  </si>
  <si>
    <t>Paris Bone</t>
  </si>
  <si>
    <t>Paris Latte</t>
  </si>
  <si>
    <t>Control Side</t>
  </si>
  <si>
    <t>RollerControl</t>
  </si>
  <si>
    <t>Timber</t>
  </si>
  <si>
    <t>TimberN</t>
  </si>
  <si>
    <t>TimberT</t>
  </si>
  <si>
    <t>Timber Eco</t>
  </si>
  <si>
    <t>Fluffy_Strip_Timber_Eco</t>
  </si>
  <si>
    <t>Timber_Blade</t>
  </si>
  <si>
    <t>Cedar Image Medium (W868)</t>
  </si>
  <si>
    <t>Timber_Hinged_Frame_Type</t>
  </si>
  <si>
    <t>Timber_Double_Hinged_Frame_Type</t>
  </si>
  <si>
    <t>TimberExtrasOptionsPainted</t>
  </si>
  <si>
    <t>TimberExtraOptionsStd</t>
  </si>
  <si>
    <t>TimberExtrasOptions</t>
  </si>
  <si>
    <t>CedarImageMediumW868</t>
  </si>
  <si>
    <t>Transition Range Blinds</t>
  </si>
  <si>
    <t>B1_Colour</t>
  </si>
  <si>
    <t>B10_Colour</t>
  </si>
  <si>
    <t>BL1_Colour</t>
  </si>
  <si>
    <t>BL11_Colour</t>
  </si>
  <si>
    <t>BL2_Colour</t>
  </si>
  <si>
    <t>BL9_Colour</t>
  </si>
  <si>
    <t>DS1_Colour</t>
  </si>
  <si>
    <t>DS6_Colour</t>
  </si>
  <si>
    <t>E1_Colour</t>
  </si>
  <si>
    <t>FR_S6_Colour</t>
  </si>
  <si>
    <t>LV1_Colour</t>
  </si>
  <si>
    <t>LV2_Colour</t>
  </si>
  <si>
    <t>S6_Colour</t>
  </si>
  <si>
    <t>S9_Colour</t>
  </si>
  <si>
    <t>ColourNA</t>
  </si>
  <si>
    <t>Vertical Stack</t>
  </si>
  <si>
    <t>Textured</t>
  </si>
  <si>
    <t>Blockout Woven</t>
  </si>
  <si>
    <t>Semi-Blockout</t>
  </si>
  <si>
    <t>Patterned</t>
  </si>
  <si>
    <t>Combination</t>
  </si>
  <si>
    <t>Fire Retardant</t>
  </si>
  <si>
    <t>Jacquard Weave</t>
  </si>
  <si>
    <t>Jacquard Crush</t>
  </si>
  <si>
    <t>Woven</t>
  </si>
  <si>
    <t>Product Type</t>
  </si>
  <si>
    <t>Head Box Colour</t>
  </si>
  <si>
    <t>Fabric Insert</t>
  </si>
  <si>
    <t>Over Roll Or 
Standard</t>
  </si>
  <si>
    <t>Blind m2</t>
  </si>
  <si>
    <t>Transition Range Blinds Product Type</t>
  </si>
  <si>
    <t>Stack</t>
  </si>
  <si>
    <t>Multi Shade</t>
  </si>
  <si>
    <t>Roman Shade</t>
  </si>
  <si>
    <t>Triple Shade</t>
  </si>
  <si>
    <t>Vertical Shade</t>
  </si>
  <si>
    <t>Stack Option</t>
  </si>
  <si>
    <t>Chain Cord Length</t>
  </si>
  <si>
    <t>Cord Colour</t>
  </si>
  <si>
    <t>Chain Only</t>
  </si>
  <si>
    <t>Chain &amp; Cord Selection</t>
  </si>
  <si>
    <t>Multi Shade Finish</t>
  </si>
  <si>
    <t>Roman Shade Finish</t>
  </si>
  <si>
    <t>Triple Shade Finish</t>
  </si>
  <si>
    <t>Vertical Shade Finish</t>
  </si>
  <si>
    <t>Colour Selection</t>
  </si>
  <si>
    <t>Fabric Insert Option</t>
  </si>
  <si>
    <t>Fabric Insert NA</t>
  </si>
  <si>
    <t>Fabric Insert Selection</t>
  </si>
  <si>
    <t>Colour Selection Product</t>
  </si>
  <si>
    <t>Colour Selection Finish</t>
  </si>
  <si>
    <t>Colour Selection Index</t>
  </si>
  <si>
    <t>Vertical Extension Bracket Option</t>
  </si>
  <si>
    <t>Vertical Extension Bracket Option NA</t>
  </si>
  <si>
    <t>Other Bottom Rail Colour</t>
  </si>
  <si>
    <t>Jacquard Crush Jacquard Weave Bottom Rail Colour</t>
  </si>
  <si>
    <t>Bottom Rail Option</t>
  </si>
  <si>
    <t>Over Roll Or Standard Multi Shade</t>
  </si>
  <si>
    <t>Over Roll Or Standard Roman Shade</t>
  </si>
  <si>
    <t>Over Roll Or Standard Triple Shade</t>
  </si>
  <si>
    <t>Over Roll Or Standard Selection</t>
  </si>
  <si>
    <t>Centre Bunch</t>
  </si>
  <si>
    <t>Beige</t>
  </si>
  <si>
    <t>Acorn B123</t>
  </si>
  <si>
    <t>Bamboo B1006</t>
  </si>
  <si>
    <t>Black Pepper BL114</t>
  </si>
  <si>
    <t>Ash BL1104</t>
  </si>
  <si>
    <t>Anthracite BL207</t>
  </si>
  <si>
    <t>Almond BL902</t>
  </si>
  <si>
    <t>Biscuit DS108</t>
  </si>
  <si>
    <t>Caramel DS603</t>
  </si>
  <si>
    <t>Barley E111</t>
  </si>
  <si>
    <t>Cornsilk FR-S603</t>
  </si>
  <si>
    <t>Cappuccino LV105</t>
  </si>
  <si>
    <t>Cocoa LV205</t>
  </si>
  <si>
    <t>Blue Lagoon S607</t>
  </si>
  <si>
    <t>Bali S910</t>
  </si>
  <si>
    <t>Over Roll</t>
  </si>
  <si>
    <t>Centre Open</t>
  </si>
  <si>
    <t>Alabaster B102</t>
  </si>
  <si>
    <t>Bonsai B1007</t>
  </si>
  <si>
    <t>Bone BL103</t>
  </si>
  <si>
    <t>Bisque BL1103</t>
  </si>
  <si>
    <t>Avocado BL205</t>
  </si>
  <si>
    <t>Bark BL912</t>
  </si>
  <si>
    <t>Burnt Sienna DS110</t>
  </si>
  <si>
    <t>Chai DS602</t>
  </si>
  <si>
    <t>Cool Mist E105</t>
  </si>
  <si>
    <t>Jasper FR-S611</t>
  </si>
  <si>
    <t>Maple LV104</t>
  </si>
  <si>
    <t>Grey LV203</t>
  </si>
  <si>
    <t>Blueberry S610</t>
  </si>
  <si>
    <t>Cumin S904</t>
  </si>
  <si>
    <t>One Way-Left</t>
  </si>
  <si>
    <t>Dark Brown</t>
  </si>
  <si>
    <t>Baby Blue B120</t>
  </si>
  <si>
    <t>Bracken B1008</t>
  </si>
  <si>
    <t>Burnt Almond BL113</t>
  </si>
  <si>
    <t>Cinnamon BL1102</t>
  </si>
  <si>
    <t>Beige BL203</t>
  </si>
  <si>
    <t>Chalk BL901</t>
  </si>
  <si>
    <t>Fawn DS103</t>
  </si>
  <si>
    <t>Chino DS604</t>
  </si>
  <si>
    <t>Daisy E101</t>
  </si>
  <si>
    <t>Mill FR-S606</t>
  </si>
  <si>
    <t>Polar LV101</t>
  </si>
  <si>
    <t>Natural LV201</t>
  </si>
  <si>
    <t>Boysenberry S612</t>
  </si>
  <si>
    <t>Maize S911</t>
  </si>
  <si>
    <t>One Way-Right</t>
  </si>
  <si>
    <t>Baby Pink B116</t>
  </si>
  <si>
    <t>Cherrywood B1011</t>
  </si>
  <si>
    <t>Carbon BL108</t>
  </si>
  <si>
    <t>Henna BL1105</t>
  </si>
  <si>
    <t>Brandy BL211</t>
  </si>
  <si>
    <t>Ginger BL905</t>
  </si>
  <si>
    <t>Ice DS101</t>
  </si>
  <si>
    <t>Coffee DS605</t>
  </si>
  <si>
    <t>Dusky Pink E106</t>
  </si>
  <si>
    <t>Oatmeal FR-S605</t>
  </si>
  <si>
    <t>Rhodium LV103</t>
  </si>
  <si>
    <t>Rust LV204</t>
  </si>
  <si>
    <t>Chocolate S611</t>
  </si>
  <si>
    <t>Pebble S903</t>
  </si>
  <si>
    <t>Blue Fizz B106</t>
  </si>
  <si>
    <t>Fossil B1003</t>
  </si>
  <si>
    <t>Champagne BL102</t>
  </si>
  <si>
    <t>Pearl BL1101</t>
  </si>
  <si>
    <t>Brownie BL212</t>
  </si>
  <si>
    <t>Iron Ore BL904</t>
  </si>
  <si>
    <t>Malted Milk DS102</t>
  </si>
  <si>
    <t>Cream DS601</t>
  </si>
  <si>
    <t>French Vanilla E103</t>
  </si>
  <si>
    <t>Soft White FR-S602</t>
  </si>
  <si>
    <t>Slate LV107</t>
  </si>
  <si>
    <t>Sandstone LV202</t>
  </si>
  <si>
    <t>Desert S605</t>
  </si>
  <si>
    <t>Pewter S905</t>
  </si>
  <si>
    <t>Light Brown</t>
  </si>
  <si>
    <t>Charcoal B112</t>
  </si>
  <si>
    <t>Mercury B1005</t>
  </si>
  <si>
    <t>Cherry BL111</t>
  </si>
  <si>
    <t>Coal BL213</t>
  </si>
  <si>
    <t>Jade BL910</t>
  </si>
  <si>
    <t>Mushroom DS104</t>
  </si>
  <si>
    <t>Espresso DS606</t>
  </si>
  <si>
    <t>Latte E107</t>
  </si>
  <si>
    <t>Wheat FR-S604</t>
  </si>
  <si>
    <t>Soot LV106</t>
  </si>
  <si>
    <t>Shiraz LV206</t>
  </si>
  <si>
    <t>Eggshell S603</t>
  </si>
  <si>
    <t>Reed S912</t>
  </si>
  <si>
    <t>Rose</t>
  </si>
  <si>
    <t>Cheesecake B114</t>
  </si>
  <si>
    <t>Meringue B1001</t>
  </si>
  <si>
    <t>Lavender BL110</t>
  </si>
  <si>
    <t>Copper BL204</t>
  </si>
  <si>
    <t>Mandarin BL906</t>
  </si>
  <si>
    <t>Sesame Seed DS107</t>
  </si>
  <si>
    <t>Magnolia E102</t>
  </si>
  <si>
    <t>Straw LV102</t>
  </si>
  <si>
    <t>Fox S604</t>
  </si>
  <si>
    <t>Snowflake S901</t>
  </si>
  <si>
    <t>Chinchilla B110</t>
  </si>
  <si>
    <t>Onyx B1012</t>
  </si>
  <si>
    <t>Mahogany BL112</t>
  </si>
  <si>
    <t>Lily BL201</t>
  </si>
  <si>
    <t>Merlot BL909</t>
  </si>
  <si>
    <t>Steel Wool DS105</t>
  </si>
  <si>
    <t>Pine Nut E112</t>
  </si>
  <si>
    <t>Ghost White S601</t>
  </si>
  <si>
    <t>Stone S908</t>
  </si>
  <si>
    <t>Earth B111</t>
  </si>
  <si>
    <t>Sorbet B1004</t>
  </si>
  <si>
    <t>Mouse BL109</t>
  </si>
  <si>
    <t>Sky BL206</t>
  </si>
  <si>
    <t>Midnight BL913</t>
  </si>
  <si>
    <t>Pistachio E110</t>
  </si>
  <si>
    <t>Light Olive S608</t>
  </si>
  <si>
    <t>Grape B115</t>
  </si>
  <si>
    <t>Spun Sugar B1002</t>
  </si>
  <si>
    <t>Mustard BL104</t>
  </si>
  <si>
    <t>Storm BL208</t>
  </si>
  <si>
    <t>Musk BL903</t>
  </si>
  <si>
    <t>Sahara Sand E104</t>
  </si>
  <si>
    <t>Liquorice S613</t>
  </si>
  <si>
    <t>Ivory B121</t>
  </si>
  <si>
    <t>Thistle B1009</t>
  </si>
  <si>
    <t>Powder Blue BL107</t>
  </si>
  <si>
    <t>Thundercloud BL209</t>
  </si>
  <si>
    <t>Otter BL907</t>
  </si>
  <si>
    <t>Wine E109</t>
  </si>
  <si>
    <t>Popped Corn S602</t>
  </si>
  <si>
    <t>Lime B108</t>
  </si>
  <si>
    <t>Walnut B1010</t>
  </si>
  <si>
    <t>Salt BL101</t>
  </si>
  <si>
    <t>Truffle BL210</t>
  </si>
  <si>
    <t>Ruby BL908</t>
  </si>
  <si>
    <t>Purple S609</t>
  </si>
  <si>
    <t>Marble B109</t>
  </si>
  <si>
    <t>Tangerine BL105</t>
  </si>
  <si>
    <t>Vanilla Lush BL202</t>
  </si>
  <si>
    <t>Steel BL911</t>
  </si>
  <si>
    <t>Titanium S606</t>
  </si>
  <si>
    <t>Mint B119</t>
  </si>
  <si>
    <t>Watermelon BL106</t>
  </si>
  <si>
    <t>Mocha B122</t>
  </si>
  <si>
    <t>Peach B103</t>
  </si>
  <si>
    <t>Pink Fizz B105</t>
  </si>
  <si>
    <t>Platinum B125</t>
  </si>
  <si>
    <t>Pumice B107</t>
  </si>
  <si>
    <t>Rustic B118</t>
  </si>
  <si>
    <t>Smoke B124</t>
  </si>
  <si>
    <t>Snowy B101</t>
  </si>
  <si>
    <t>Tan B117</t>
  </si>
  <si>
    <t>Violet B104</t>
  </si>
  <si>
    <t>Zest B113</t>
  </si>
  <si>
    <t>Transition Blinds</t>
  </si>
  <si>
    <t>Dark Red</t>
  </si>
  <si>
    <t>Store Name</t>
  </si>
  <si>
    <t>#</t>
  </si>
  <si>
    <t>Delivery Address</t>
  </si>
  <si>
    <t>Panels Fixed With Light Stop Beading</t>
  </si>
  <si>
    <t>Panels Fixed With Light Stop Beading, Front &amp; Back</t>
  </si>
  <si>
    <t>This Section Can Be Used To Enter Your Store Names &amp; Delivery Addresses.
Please Enter &amp; Update The Details In The Sections Provided &amp; This Will Automatically Populate Into The Summary Section &amp; Then The Individual Order Forms.</t>
  </si>
  <si>
    <t>Transition</t>
  </si>
  <si>
    <t>Fauxwood Eco Air</t>
  </si>
  <si>
    <t>Fauxwood Eco Elite</t>
  </si>
  <si>
    <t>CMBEmail</t>
  </si>
  <si>
    <t>ShutterEmail</t>
  </si>
  <si>
    <t>CMBPhone</t>
  </si>
  <si>
    <t>ShutterPhone</t>
  </si>
  <si>
    <t>support@pacificwholesale.com.au</t>
  </si>
  <si>
    <t>Tel. +61 2 8850 9312</t>
  </si>
  <si>
    <t>Top &amp; Bottom Rail, 137.5mm x 21mm - Standard Profile</t>
  </si>
  <si>
    <t>Divider Rail/Mid Rail (Centre Rail), 79.5mm x 21mm - Standard Profile</t>
  </si>
  <si>
    <t>Metal Return Clip For Fascia</t>
  </si>
  <si>
    <t>Tel. +61 2 8850 9305</t>
  </si>
  <si>
    <t>Top &amp; Bottom Rail, 152mm x 19mm - Reinforced Curved Profile</t>
  </si>
  <si>
    <t>Divider Rail/Mid Rail (Centre Rail), 98mm x 19mm - Reinforced Curved Profile</t>
  </si>
  <si>
    <t>Emma Blakeney</t>
  </si>
  <si>
    <t>Tel. +61 2 8850 9306</t>
  </si>
  <si>
    <t>service@pacificwholesale.com.au</t>
  </si>
  <si>
    <t>Before Sending The Order:
1. Please Check The Quantity's Below Are Correct. 
2. When Complete, Save In This Tab And Email To Pacific Wholesale To The Appropriate Email Address.</t>
  </si>
  <si>
    <t>Stacey Carsburg</t>
  </si>
  <si>
    <t>50mm Timber</t>
  </si>
  <si>
    <t>DESTINATION PORT:</t>
  </si>
  <si>
    <t>Light Grey</t>
  </si>
  <si>
    <t>Slate</t>
  </si>
  <si>
    <t>Custom Paint (Dulux)</t>
  </si>
  <si>
    <t>TimberBlade</t>
  </si>
  <si>
    <t>Shaped Raked</t>
  </si>
  <si>
    <t>Shaped Parallelogram</t>
  </si>
  <si>
    <t>ShippingPort</t>
  </si>
  <si>
    <t>BNE</t>
  </si>
  <si>
    <t>MEL</t>
  </si>
  <si>
    <t>SYD</t>
  </si>
  <si>
    <t>Special_Window_Timber</t>
  </si>
  <si>
    <t>Special_Window_FauxwoodEco</t>
  </si>
  <si>
    <t>Special_Window_FauxwoodEcoAir</t>
  </si>
  <si>
    <t>Flat L Frame</t>
  </si>
  <si>
    <t>Medium/Large L Frame</t>
  </si>
  <si>
    <t>Medium/Large Face Fit L Frame</t>
  </si>
  <si>
    <t>TimberRP</t>
  </si>
  <si>
    <t>TimberEcoHinge</t>
  </si>
  <si>
    <t>FauxwoodHinge</t>
  </si>
  <si>
    <t>50mm Flat</t>
  </si>
  <si>
    <t>60mm Beaded</t>
  </si>
  <si>
    <t>60mm Flat</t>
  </si>
  <si>
    <t>50mm Beaded (Default)</t>
  </si>
  <si>
    <t>ORDERS EMAIL ADDRESS:</t>
  </si>
  <si>
    <t>MountingMethodAirIN</t>
  </si>
  <si>
    <t>MountingMethodAirOUT</t>
  </si>
  <si>
    <t>Mouting Method Match IN OUT MS</t>
  </si>
  <si>
    <t>Mounting Method Index</t>
  </si>
  <si>
    <t>Mouting Method Match Product</t>
  </si>
  <si>
    <t>FauxwoodEcoHingeNew</t>
  </si>
  <si>
    <t>TimberEcoPaintedHingeNew</t>
  </si>
  <si>
    <t>TimberEcoStainedHingeNew</t>
  </si>
  <si>
    <t>BiFoldFauxwoodHingeNew</t>
  </si>
  <si>
    <t>BiFoldTimberPaintedHingeNew</t>
  </si>
  <si>
    <t>BiFoldTimberStainedHingeNew</t>
  </si>
  <si>
    <t>PivotHingedNew</t>
  </si>
  <si>
    <t>FauxwoodHangingStripHingeNew</t>
  </si>
  <si>
    <t>TimberPaintedHangingStripHingeNew</t>
  </si>
  <si>
    <t>TimberStainedHangingStripHingeNew</t>
  </si>
  <si>
    <t>Pure White</t>
  </si>
  <si>
    <t>Concealed Stainless Steel</t>
  </si>
  <si>
    <t>HingeNANew</t>
  </si>
  <si>
    <t>PAINTED</t>
  </si>
  <si>
    <t>STAINED</t>
  </si>
  <si>
    <t>HANGING STRIP PAINTED</t>
  </si>
  <si>
    <t>HANGING STRIP STAINED</t>
  </si>
  <si>
    <t>Painted Hinge Match Product</t>
  </si>
  <si>
    <t>Painted Hinge Match Mounting</t>
  </si>
  <si>
    <t>Painted Hinge Index</t>
  </si>
  <si>
    <t>Stained Hinge Match Product</t>
  </si>
  <si>
    <t>Stained Hinge Match Mounting</t>
  </si>
  <si>
    <t>Stained Hinge Index</t>
  </si>
  <si>
    <t>Painted Hinge Hanging Strip Match Product</t>
  </si>
  <si>
    <t>Painted Hinge Hanging Strip Match Mounting</t>
  </si>
  <si>
    <t>Painted Hinge Hanging Strip Index</t>
  </si>
  <si>
    <t>Stained Hinge Hanging Strip Match Product</t>
  </si>
  <si>
    <t>Stained Hinge Hanging Strip Match Mounting</t>
  </si>
  <si>
    <t>Stained Hinge Hanging Strip Index</t>
  </si>
  <si>
    <t>Painted</t>
  </si>
  <si>
    <t>Stained</t>
  </si>
  <si>
    <t>Painted/Stained Lookup</t>
  </si>
  <si>
    <t>Hinge Formula</t>
  </si>
  <si>
    <t>Total m2</t>
  </si>
  <si>
    <t>Page</t>
  </si>
  <si>
    <t>FauxwoodStile</t>
  </si>
  <si>
    <t>TimberStile</t>
  </si>
  <si>
    <t>Beaded T Post (Timber Only)</t>
  </si>
  <si>
    <t>Bi Fold Flush Bolt (Timber Only)</t>
  </si>
  <si>
    <t>Bi Fold Pull Ring (Timber Only)</t>
  </si>
  <si>
    <t>Customer Rework</t>
  </si>
  <si>
    <t>Horizontal T Post</t>
  </si>
  <si>
    <t>Horizontal T Post Filler Board Above</t>
  </si>
  <si>
    <t>Horizontal T Post Filler Board Below</t>
  </si>
  <si>
    <t>Warranty Remake</t>
  </si>
  <si>
    <t>White Magnet Catches</t>
  </si>
  <si>
    <t>Diagram Supplied</t>
  </si>
  <si>
    <t>Additional Fascia 60mm x 12mm</t>
  </si>
  <si>
    <t>Additional Fascia 100mm x 12mm</t>
  </si>
  <si>
    <t>Additional Fascia 140mm x 12mm</t>
  </si>
  <si>
    <t>Additional Headboard 100mm x 20mm</t>
  </si>
  <si>
    <t>Additional Headboard 140mm x 20mm</t>
  </si>
  <si>
    <t>Additional Headboard 180mm x 20mm</t>
  </si>
  <si>
    <t>Additional Headboard 220mm x 20mm</t>
  </si>
  <si>
    <t>Classic Deco Frame</t>
  </si>
  <si>
    <t>Light Stop 20mm x 20mm</t>
  </si>
  <si>
    <t>Light Stop 20mm x 30mm</t>
  </si>
  <si>
    <t>Light Stop 31.8mm x 12mm</t>
  </si>
  <si>
    <t>U Channel 40mm x 53mm</t>
  </si>
  <si>
    <t>U Channel 60mm x 53mm</t>
  </si>
  <si>
    <t>L-DRTLD-R</t>
  </si>
  <si>
    <t>Lookup</t>
  </si>
  <si>
    <t>Bi Fold Frame, 60mm x 12mm</t>
  </si>
  <si>
    <t>Cover Strip To Fit Face Fit Frame 15.4mm x 6mm</t>
  </si>
  <si>
    <t>Mounting Block 20mm x 20mm Material</t>
  </si>
  <si>
    <t>Hanging Strip 30mm x 25.4mm Material</t>
  </si>
  <si>
    <t>Divider Rail/Mid Rail (Centre Rail), 76.2mm x 21mm - Standard Profile</t>
  </si>
  <si>
    <t>Top &amp; Bottom Rail, 200mm x 21mm - Standard Profile</t>
  </si>
  <si>
    <t>TopBottom Rail 152mm x 19mmReinforced Profile</t>
  </si>
  <si>
    <t>Bi Fold Frame 60mm x 12mm</t>
  </si>
  <si>
    <t>Divider RailMid Rail Centre Rail 76.2mm x 21mm Standard Profile</t>
  </si>
  <si>
    <t>Divider Rail Mid Rail Centre Rail 79.5mm x 21mm Standard Profile</t>
  </si>
  <si>
    <t>Divider RailMid Rail Centre Rail 98mm x 19mm Reinforced Curved Profile</t>
  </si>
  <si>
    <t>MediumLarge Face Fit L Frame</t>
  </si>
  <si>
    <t>MediumLarge L Frame</t>
  </si>
  <si>
    <t>Mounting Block 20mm x 20mm</t>
  </si>
  <si>
    <t>Top Bottom Rail 200mm x 21mm Standard Profile</t>
  </si>
  <si>
    <t>Bi Fold Bolt Ring</t>
  </si>
  <si>
    <t>Concealed Bi Fold Hinge</t>
  </si>
  <si>
    <t>Bi Fold Flush Bolt Timber Only</t>
  </si>
  <si>
    <t>Bi Fold Pull Ring Timber Only</t>
  </si>
  <si>
    <t>PivotHingedFauxwoodNew</t>
  </si>
  <si>
    <t>Additional Hinge Formula</t>
  </si>
  <si>
    <t>Concealed Bi Fold Hinge (Timber Only)</t>
  </si>
  <si>
    <t>Light Grey (W032)</t>
  </si>
  <si>
    <t>Grey (W030)</t>
  </si>
  <si>
    <t>Slate (W057)</t>
  </si>
  <si>
    <t>Riva (W200)</t>
  </si>
  <si>
    <t>Count</t>
  </si>
  <si>
    <t>Page 1</t>
  </si>
  <si>
    <t>Page 2</t>
  </si>
  <si>
    <t>Page 3</t>
  </si>
  <si>
    <r>
      <t xml:space="preserve">Internal Shutters </t>
    </r>
    <r>
      <rPr>
        <i/>
        <sz val="14"/>
        <rFont val="Arial"/>
        <family val="2"/>
      </rPr>
      <t>(Lines Ordered)</t>
    </r>
  </si>
  <si>
    <r>
      <t xml:space="preserve">Internal Shutters </t>
    </r>
    <r>
      <rPr>
        <i/>
        <sz val="14"/>
        <rFont val="Arial"/>
        <family val="2"/>
      </rPr>
      <t>(Pages Ordered)</t>
    </r>
  </si>
  <si>
    <t>Motorised (Timber Only)</t>
  </si>
  <si>
    <t>Small L Frame (Beaded Option)</t>
  </si>
  <si>
    <t>Small L Frame Beaded Option</t>
  </si>
  <si>
    <t>Fauxwood Eco Air OLD</t>
  </si>
  <si>
    <t>Hanging Strip 30mm x 25.4mm</t>
  </si>
  <si>
    <t>Air_Double_Hinged_Frame_Type</t>
  </si>
  <si>
    <t>Supply Light Stops As Extra's To Make Small L Frame A Medium L Frame</t>
  </si>
  <si>
    <t>Hanging Strip 35mm x 25.5mm</t>
  </si>
  <si>
    <t>Light Stop 20mm x 12mm</t>
  </si>
  <si>
    <t>Hanging Strip 35mm x 25.5mm Material</t>
  </si>
  <si>
    <t>Light Stop 20mm x 12mm Material</t>
  </si>
  <si>
    <t>Cover Strip To Fit Face Fit Frame 12.8mm x 4.9mm</t>
  </si>
  <si>
    <t>Cover Strip To Fit Face Fit Frame 16.6mm x 5.1mm</t>
  </si>
  <si>
    <t>Critical Mid Rail</t>
  </si>
  <si>
    <t>Mid Rail May Be Up To 40mm Higher/Lower, Unless "Critical Mid Rail"</t>
  </si>
  <si>
    <t>Split Tiltrod In Half Above Mid Rail</t>
  </si>
  <si>
    <t>Split Tiltrod In Half Below Mid Rail</t>
  </si>
  <si>
    <t>Total Track</t>
  </si>
  <si>
    <t>Track Multiplier</t>
  </si>
  <si>
    <t>BBFD-F</t>
  </si>
  <si>
    <t>BBF-DF</t>
  </si>
  <si>
    <t>BBFD-FD-FD-FBB</t>
  </si>
  <si>
    <t>BBF-DF-DF-DFBB</t>
  </si>
  <si>
    <t>BBMMFD-F</t>
  </si>
  <si>
    <t>BBMMF-DF</t>
  </si>
  <si>
    <t>BFD-FB</t>
  </si>
  <si>
    <t>BF-DFB</t>
  </si>
  <si>
    <t>BMFD-FMB</t>
  </si>
  <si>
    <t>BMF-DFMB</t>
  </si>
  <si>
    <t>FD-F</t>
  </si>
  <si>
    <t>F-DF</t>
  </si>
  <si>
    <t>FD-FBB</t>
  </si>
  <si>
    <t>F-DFBB</t>
  </si>
  <si>
    <t>FD-FBBBBFD-F</t>
  </si>
  <si>
    <t>F-DFBBBBF-DF</t>
  </si>
  <si>
    <t>FD-FD-F</t>
  </si>
  <si>
    <t>F-DF-DF</t>
  </si>
  <si>
    <t>FD-FMMBB</t>
  </si>
  <si>
    <t>F-DFMMBB</t>
  </si>
  <si>
    <t>Track Bi Fold Calculations</t>
  </si>
  <si>
    <t>Sliding Track Calculations</t>
  </si>
  <si>
    <t>Sliding Lookup</t>
  </si>
  <si>
    <t>FRE</t>
  </si>
  <si>
    <t>Bright White</t>
  </si>
  <si>
    <t>Classic White</t>
  </si>
  <si>
    <t>Snow White</t>
  </si>
  <si>
    <t>Super White</t>
  </si>
  <si>
    <t>Ceylon</t>
  </si>
  <si>
    <t>Earl Grey</t>
  </si>
  <si>
    <t>French White</t>
  </si>
  <si>
    <t>Infinite White</t>
  </si>
  <si>
    <t>Polar White</t>
  </si>
  <si>
    <t>Quiet White</t>
  </si>
  <si>
    <t>Snow Gum Grey</t>
  </si>
  <si>
    <t>Snowy Mountains White</t>
  </si>
  <si>
    <t>Antique Brass/Bronze</t>
  </si>
  <si>
    <t>Barca Walnut</t>
  </si>
  <si>
    <t>Royal Walnut</t>
  </si>
  <si>
    <t>Colombia Walnut</t>
  </si>
  <si>
    <t>Shadow Chasing Walnut</t>
  </si>
  <si>
    <t>Timber Blade Lookup</t>
  </si>
  <si>
    <t>Timber_Laminated_Blade</t>
  </si>
  <si>
    <t>TimberRPNo</t>
  </si>
  <si>
    <t>Blade Colour</t>
  </si>
  <si>
    <t>Eco_Air_Blade</t>
  </si>
  <si>
    <t>TimberLaminateTiltrod</t>
  </si>
  <si>
    <t>Special_Window_Timber_Laminated</t>
  </si>
  <si>
    <t>Special Window Laminated</t>
  </si>
  <si>
    <t>Laminated Look Up</t>
  </si>
  <si>
    <t>Window Selection</t>
  </si>
  <si>
    <t>1     Of</t>
  </si>
  <si>
    <t>Super WhiteNA</t>
  </si>
  <si>
    <t>Layout Code Options Timber</t>
  </si>
  <si>
    <t>Layout Code Options Air</t>
  </si>
  <si>
    <t>HingedAirLayoutCodes</t>
  </si>
  <si>
    <t>AirNA</t>
  </si>
  <si>
    <t>Bullnose Z Frame Air</t>
  </si>
  <si>
    <t>Small L Frame Air</t>
  </si>
  <si>
    <t>Medium Face Fit L Frame Air</t>
  </si>
  <si>
    <t>ShutterMaterialMS</t>
  </si>
  <si>
    <t>ExtrasMaterial</t>
  </si>
  <si>
    <t>LRFrameAir</t>
  </si>
  <si>
    <t>TopBottomFrameAir</t>
  </si>
  <si>
    <t>Air Left Right Frame</t>
  </si>
  <si>
    <t>Air Top Frame</t>
  </si>
  <si>
    <t>Air Bottom Frame</t>
  </si>
  <si>
    <t>Frame Select</t>
  </si>
  <si>
    <t>TimberSpecialComments</t>
  </si>
  <si>
    <t>AirSpecialComments</t>
  </si>
  <si>
    <t>Do Not Split Tiltrod</t>
  </si>
  <si>
    <t xml:space="preserve">Maximum Blades Possible </t>
  </si>
  <si>
    <t>Cover Strip To Fit Face Fit Frame 14.5mm x 6.5mm</t>
  </si>
  <si>
    <t>Medium/Large L Frame (Beaded Default)</t>
  </si>
  <si>
    <t>Medium/Large L Frame (Flat)</t>
  </si>
  <si>
    <t>Small L Frame (Default)</t>
  </si>
  <si>
    <t>T Post Air</t>
  </si>
  <si>
    <t>EcoAirExtras</t>
  </si>
  <si>
    <t>TimberEcoExtras</t>
  </si>
  <si>
    <t>L Bracket</t>
  </si>
  <si>
    <t>Spring Catch</t>
  </si>
  <si>
    <t>Bi Fold Magnets</t>
  </si>
  <si>
    <t>AirHardware</t>
  </si>
  <si>
    <t>TimberHardware</t>
  </si>
  <si>
    <t>Hidden Tiltrod, 89mm, Air</t>
  </si>
  <si>
    <t>Hidden Tiltrod 89mm Air</t>
  </si>
  <si>
    <t>AirHingeColour</t>
  </si>
  <si>
    <t>Standard Hinge, Air</t>
  </si>
  <si>
    <t xml:space="preserve">MediumLarge L Frame Flat </t>
  </si>
  <si>
    <t>LRFMediumLFrameFlat</t>
  </si>
  <si>
    <t>Medium/Large L Frame Flat</t>
  </si>
  <si>
    <t>Sliding Track System</t>
  </si>
  <si>
    <t>Top Hung (Original System)</t>
  </si>
  <si>
    <t>Bottom Wheel (New System)</t>
  </si>
  <si>
    <t>Sliding System</t>
  </si>
  <si>
    <t>SlidingSystemNA</t>
  </si>
  <si>
    <t>SlidOpenClosed</t>
  </si>
  <si>
    <t>OpenClosed</t>
  </si>
  <si>
    <t>SlidingOpenClosedOption</t>
  </si>
  <si>
    <t>SlidingBoth</t>
  </si>
  <si>
    <t>SlidingClosed</t>
  </si>
  <si>
    <t>TopFrameMediumFFLFrameFlat</t>
  </si>
  <si>
    <t>BottomSlidingBottomWheelFrame</t>
  </si>
  <si>
    <t>Bottom Frame Normal</t>
  </si>
  <si>
    <t>BottomFrameMediumFFLFrameFlat</t>
  </si>
  <si>
    <t>Mounting Block 19mm x 19mm</t>
  </si>
  <si>
    <t xml:space="preserve">Light Stop 20mm x 50mm </t>
  </si>
  <si>
    <t>Light Stop 25mm x 19mm</t>
  </si>
  <si>
    <t xml:space="preserve">Light Stop 25mm x 30mm </t>
  </si>
  <si>
    <t>Light Stop 25mm x 40mm</t>
  </si>
  <si>
    <t>Mounting Block 25mm x 45mm</t>
  </si>
  <si>
    <t>AKL</t>
  </si>
  <si>
    <t>Air_Hinged_Frame_TypeIN</t>
  </si>
  <si>
    <t>Air_Hinged_Frame_TypeOUT</t>
  </si>
  <si>
    <t>FRAME SELECT AFTER INOUT</t>
  </si>
  <si>
    <t>FrameOutIndex</t>
  </si>
  <si>
    <t>Timber_Hinged_Frame_TypeOUT</t>
  </si>
  <si>
    <t>Timber_Double_Hinged_Frame_TypeOUT</t>
  </si>
  <si>
    <t>Bottom Wheel, Adjustable (Bottom Wheel Sliding System)</t>
  </si>
  <si>
    <t>Bottom Track, Track In Board 9mm x 6mm Bottom Wheel Sliding System</t>
  </si>
  <si>
    <t>Bottom Track, Track Only 30mm x 3.7mm Bottom Wheel Sliding System</t>
  </si>
  <si>
    <t>Top U Channel 40mm x 40mm Bottom Wheel Sliding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</si>
</sst>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0"/>
    <numFmt numFmtId="165" formatCode="dd/mm/yyyy;@"/>
  </numFmts>
  <fonts count="110">
    <font>
      <sz val="10"/>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u/>
      <sz val="10"/>
      <color indexed="12"/>
      <name val="Arial"/>
      <family val="2"/>
    </font>
    <font>
      <b/>
      <sz val="10"/>
      <name val="Arial"/>
      <family val="2"/>
    </font>
    <font>
      <sz val="8"/>
      <name val="Arial"/>
      <family val="2"/>
    </font>
    <font>
      <sz val="9"/>
      <color indexed="8"/>
      <name val="Arial"/>
      <family val="2"/>
    </font>
    <font>
      <sz val="9"/>
      <name val="Arial"/>
      <family val="2"/>
    </font>
    <font>
      <b/>
      <sz val="12"/>
      <name val="Arial"/>
      <family val="2"/>
    </font>
    <font>
      <sz val="10"/>
      <name val="Arial"/>
      <family val="2"/>
    </font>
    <font>
      <sz val="9"/>
      <name val="宋体"/>
      <charset val="134"/>
    </font>
    <font>
      <sz val="10"/>
      <color indexed="10"/>
      <name val="Arial"/>
      <family val="2"/>
    </font>
    <font>
      <b/>
      <sz val="16"/>
      <name val="Tahoma"/>
      <family val="2"/>
    </font>
    <font>
      <b/>
      <sz val="12"/>
      <name val="Tahoma"/>
      <family val="2"/>
    </font>
    <font>
      <b/>
      <sz val="11"/>
      <name val="Calibri"/>
      <family val="2"/>
    </font>
    <font>
      <sz val="12"/>
      <name val="Arial"/>
      <family val="2"/>
    </font>
    <font>
      <sz val="12"/>
      <name val="Tahoma"/>
      <family val="2"/>
    </font>
    <font>
      <b/>
      <sz val="12"/>
      <name val="Calibri"/>
      <family val="2"/>
    </font>
    <font>
      <sz val="12"/>
      <name val="Calibri"/>
      <family val="2"/>
    </font>
    <font>
      <sz val="9"/>
      <name val="Tahoma"/>
      <family val="2"/>
    </font>
    <font>
      <b/>
      <sz val="14"/>
      <name val="Tahoma"/>
      <family val="2"/>
    </font>
    <font>
      <b/>
      <sz val="11"/>
      <name val="Tahoma"/>
      <family val="2"/>
    </font>
    <font>
      <sz val="11"/>
      <name val="Calibri"/>
      <family val="2"/>
    </font>
    <font>
      <sz val="11"/>
      <name val="Tahoma"/>
      <family val="2"/>
    </font>
    <font>
      <b/>
      <i/>
      <sz val="12"/>
      <name val="Tahoma"/>
      <family val="2"/>
    </font>
    <font>
      <b/>
      <sz val="14"/>
      <name val="Calibri"/>
      <family val="2"/>
    </font>
    <font>
      <sz val="8"/>
      <color indexed="81"/>
      <name val="Tahoma"/>
      <family val="2"/>
    </font>
    <font>
      <sz val="10"/>
      <name val="Tahoma"/>
      <family val="2"/>
    </font>
    <font>
      <b/>
      <sz val="14"/>
      <name val="Arial"/>
      <family val="2"/>
    </font>
    <font>
      <sz val="18"/>
      <name val="Arial"/>
      <family val="2"/>
    </font>
    <font>
      <sz val="14"/>
      <name val="Arial"/>
      <family val="2"/>
    </font>
    <font>
      <sz val="14"/>
      <name val="Arial"/>
      <family val="2"/>
    </font>
    <font>
      <b/>
      <sz val="20"/>
      <name val="Arial"/>
      <family val="2"/>
    </font>
    <font>
      <b/>
      <sz val="9"/>
      <name val="Arial"/>
      <family val="2"/>
    </font>
    <font>
      <sz val="16"/>
      <name val="Arial"/>
      <family val="2"/>
    </font>
    <font>
      <b/>
      <sz val="8"/>
      <color indexed="8"/>
      <name val="Arial"/>
      <family val="2"/>
    </font>
    <font>
      <b/>
      <sz val="8"/>
      <name val="Arial"/>
      <family val="2"/>
    </font>
    <font>
      <sz val="16"/>
      <color indexed="10"/>
      <name val="Arial"/>
      <family val="2"/>
    </font>
    <font>
      <b/>
      <sz val="18"/>
      <name val="Arial"/>
      <family val="2"/>
    </font>
    <font>
      <b/>
      <sz val="10"/>
      <color indexed="10"/>
      <name val="Arial"/>
      <family val="2"/>
    </font>
    <font>
      <sz val="7.5"/>
      <name val="Tahoma"/>
      <family val="2"/>
    </font>
    <font>
      <sz val="9"/>
      <color indexed="81"/>
      <name val="Tahoma"/>
      <family val="2"/>
    </font>
    <font>
      <b/>
      <i/>
      <sz val="12"/>
      <name val="Arial"/>
      <family val="2"/>
    </font>
    <font>
      <b/>
      <i/>
      <sz val="10"/>
      <name val="Arial"/>
      <family val="2"/>
    </font>
    <font>
      <b/>
      <sz val="11"/>
      <name val="Calibri"/>
      <family val="2"/>
      <scheme val="minor"/>
    </font>
    <font>
      <b/>
      <sz val="12"/>
      <color rgb="FFFF0000"/>
      <name val="Arial"/>
      <family val="2"/>
    </font>
    <font>
      <b/>
      <sz val="12"/>
      <name val="Calibri"/>
      <family val="2"/>
      <scheme val="minor"/>
    </font>
    <font>
      <sz val="11"/>
      <name val="Calibri"/>
      <family val="2"/>
      <scheme val="minor"/>
    </font>
    <font>
      <b/>
      <sz val="14"/>
      <name val="Calibri"/>
      <family val="2"/>
      <scheme val="minor"/>
    </font>
    <font>
      <b/>
      <i/>
      <sz val="11"/>
      <name val="Calibri"/>
      <family val="2"/>
      <scheme val="minor"/>
    </font>
    <font>
      <i/>
      <sz val="11"/>
      <name val="Calibri"/>
      <family val="2"/>
      <scheme val="minor"/>
    </font>
    <font>
      <b/>
      <i/>
      <sz val="11"/>
      <color indexed="12"/>
      <name val="Calibri"/>
      <family val="2"/>
      <scheme val="minor"/>
    </font>
    <font>
      <i/>
      <sz val="8"/>
      <color indexed="81"/>
      <name val="Tahoma"/>
      <family val="2"/>
    </font>
    <font>
      <b/>
      <i/>
      <sz val="11"/>
      <color rgb="FFFF0000"/>
      <name val="Calibri"/>
      <family val="2"/>
      <scheme val="minor"/>
    </font>
    <font>
      <sz val="12"/>
      <name val="Calibri"/>
      <family val="2"/>
      <scheme val="minor"/>
    </font>
    <font>
      <i/>
      <sz val="11"/>
      <color rgb="FFFF0000"/>
      <name val="Calibri"/>
      <family val="2"/>
      <scheme val="minor"/>
    </font>
    <font>
      <sz val="12"/>
      <color rgb="FFFF0000"/>
      <name val="Tahoma"/>
      <family val="2"/>
    </font>
    <font>
      <b/>
      <sz val="11"/>
      <color theme="1"/>
      <name val="Calibri"/>
      <family val="2"/>
      <scheme val="minor"/>
    </font>
    <font>
      <sz val="12"/>
      <color rgb="FF7030A0"/>
      <name val="Tahoma"/>
      <family val="2"/>
    </font>
    <font>
      <b/>
      <sz val="11"/>
      <color indexed="10"/>
      <name val="Calibri"/>
      <family val="2"/>
      <scheme val="minor"/>
    </font>
    <font>
      <b/>
      <sz val="11"/>
      <color theme="3"/>
      <name val="Calibri"/>
      <family val="2"/>
      <scheme val="minor"/>
    </font>
    <font>
      <b/>
      <sz val="20"/>
      <color theme="8"/>
      <name val="Arial"/>
      <family val="2"/>
    </font>
    <font>
      <b/>
      <sz val="11"/>
      <color indexed="14"/>
      <name val="Calibri"/>
      <family val="2"/>
      <scheme val="minor"/>
    </font>
    <font>
      <b/>
      <sz val="11"/>
      <color indexed="17"/>
      <name val="Calibri"/>
      <family val="2"/>
      <scheme val="minor"/>
    </font>
    <font>
      <b/>
      <sz val="11"/>
      <color indexed="12"/>
      <name val="Calibri"/>
      <family val="2"/>
      <scheme val="minor"/>
    </font>
    <font>
      <b/>
      <sz val="20"/>
      <color theme="2" tint="-0.499984740745262"/>
      <name val="Arial"/>
      <family val="2"/>
    </font>
    <font>
      <i/>
      <sz val="10"/>
      <name val="Arial"/>
      <family val="2"/>
    </font>
    <font>
      <sz val="12"/>
      <color theme="1"/>
      <name val="Tahoma"/>
      <family val="2"/>
    </font>
    <font>
      <sz val="10"/>
      <color rgb="FF00B050"/>
      <name val="Arial"/>
      <family val="2"/>
    </font>
    <font>
      <b/>
      <sz val="11"/>
      <color theme="1"/>
      <name val="Calibri"/>
      <family val="2"/>
    </font>
    <font>
      <sz val="10"/>
      <color rgb="FFFF0000"/>
      <name val="Arial"/>
      <family val="2"/>
    </font>
    <font>
      <sz val="9"/>
      <color rgb="FFFF0000"/>
      <name val="Arial"/>
      <family val="2"/>
    </font>
    <font>
      <sz val="11"/>
      <color rgb="FFFF0000"/>
      <name val="Calibri"/>
      <family val="2"/>
      <scheme val="minor"/>
    </font>
    <font>
      <b/>
      <sz val="36"/>
      <name val="Calibri"/>
      <family val="2"/>
    </font>
    <font>
      <b/>
      <sz val="16"/>
      <name val="Calibri"/>
      <family val="2"/>
    </font>
    <font>
      <u/>
      <sz val="16"/>
      <color indexed="12"/>
      <name val="Calibri"/>
      <family val="2"/>
      <scheme val="minor"/>
    </font>
    <font>
      <sz val="16"/>
      <name val="Calibri"/>
      <family val="2"/>
      <scheme val="minor"/>
    </font>
    <font>
      <b/>
      <sz val="20"/>
      <name val="Tahoma"/>
      <family val="2"/>
    </font>
    <font>
      <i/>
      <sz val="14"/>
      <name val="Arial"/>
      <family val="2"/>
    </font>
    <font>
      <b/>
      <sz val="18"/>
      <name val="Calibri"/>
      <family val="2"/>
      <scheme val="minor"/>
    </font>
    <font>
      <u/>
      <sz val="10"/>
      <color theme="11"/>
      <name val="Arial"/>
      <family val="2"/>
    </font>
    <font>
      <sz val="10"/>
      <color theme="1"/>
      <name val="Arial"/>
      <family val="2"/>
    </font>
    <font>
      <u/>
      <sz val="7.5"/>
      <color indexed="12"/>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b/>
      <sz val="18"/>
      <color indexed="62"/>
      <name val="Cambria"/>
      <family val="2"/>
    </font>
    <font>
      <sz val="10"/>
      <name val="Verdana"/>
      <family val="2"/>
    </font>
    <font>
      <sz val="11"/>
      <color rgb="FF3F3F76"/>
      <name val="Calibri"/>
      <family val="2"/>
      <scheme val="minor"/>
    </font>
    <font>
      <sz val="10"/>
      <color indexed="8"/>
      <name val="Arial"/>
      <family val="2"/>
    </font>
    <font>
      <sz val="11"/>
      <color rgb="FF000000"/>
      <name val="Calibri"/>
      <family val="2"/>
    </font>
  </fonts>
  <fills count="6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rgb="FFFFC000"/>
        <bgColor indexed="64"/>
      </patternFill>
    </fill>
    <fill>
      <patternFill patternType="solid">
        <fgColor rgb="FF0070C0"/>
        <bgColor indexed="64"/>
      </patternFill>
    </fill>
    <fill>
      <patternFill patternType="solid">
        <fgColor rgb="FFFF0000"/>
        <bgColor indexed="64"/>
      </patternFill>
    </fill>
    <fill>
      <patternFill patternType="solid">
        <fgColor rgb="FF00B0F0"/>
        <bgColor indexed="64"/>
      </patternFill>
    </fill>
    <fill>
      <patternFill patternType="solid">
        <fgColor rgb="FF00B050"/>
        <bgColor indexed="64"/>
      </patternFill>
    </fill>
    <fill>
      <patternFill patternType="solid">
        <fgColor rgb="FF7030A0"/>
        <bgColor indexed="64"/>
      </patternFill>
    </fill>
    <fill>
      <patternFill patternType="solid">
        <fgColor theme="0"/>
        <bgColor indexed="64"/>
      </patternFill>
    </fill>
    <fill>
      <patternFill patternType="solid">
        <fgColor rgb="FF92D050"/>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rgb="FFCCCCFF"/>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8"/>
        <bgColor indexed="64"/>
      </patternFill>
    </fill>
    <fill>
      <patternFill patternType="solid">
        <fgColor theme="7"/>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99FF"/>
        <bgColor indexed="64"/>
      </patternFill>
    </fill>
    <fill>
      <patternFill patternType="solid">
        <fgColor theme="7" tint="0.39994506668294322"/>
        <bgColor indexed="64"/>
      </patternFill>
    </fill>
    <fill>
      <patternFill patternType="solid">
        <fgColor indexed="54"/>
        <bgColor indexed="64"/>
      </patternFill>
    </fill>
    <fill>
      <patternFill patternType="solid">
        <fgColor indexed="2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FFCC99"/>
        <bgColor indexed="64"/>
      </patternFill>
    </fill>
  </fills>
  <borders count="1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hair">
        <color indexed="64"/>
      </left>
      <right/>
      <top style="double">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right style="hair">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diagonal/>
    </border>
    <border>
      <left style="hair">
        <color indexed="64"/>
      </left>
      <right style="thick">
        <color indexed="64"/>
      </right>
      <top style="double">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style="hair">
        <color indexed="64"/>
      </top>
      <bottom style="thick">
        <color indexed="64"/>
      </bottom>
      <diagonal/>
    </border>
    <border>
      <left style="hair">
        <color indexed="64"/>
      </left>
      <right style="thick">
        <color indexed="64"/>
      </right>
      <top/>
      <bottom style="hair">
        <color indexed="64"/>
      </bottom>
      <diagonal/>
    </border>
    <border>
      <left/>
      <right style="hair">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ck">
        <color indexed="64"/>
      </bottom>
      <diagonal/>
    </border>
    <border>
      <left/>
      <right style="hair">
        <color indexed="64"/>
      </right>
      <top style="hair">
        <color indexed="64"/>
      </top>
      <bottom style="thick">
        <color indexed="64"/>
      </bottom>
      <diagonal/>
    </border>
    <border>
      <left/>
      <right style="hair">
        <color indexed="64"/>
      </right>
      <top/>
      <bottom style="hair">
        <color indexed="64"/>
      </bottom>
      <diagonal/>
    </border>
    <border>
      <left style="thick">
        <color indexed="64"/>
      </left>
      <right style="hair">
        <color indexed="64"/>
      </right>
      <top/>
      <bottom style="hair">
        <color indexed="64"/>
      </bottom>
      <diagonal/>
    </border>
    <border>
      <left style="thick">
        <color indexed="64"/>
      </left>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style="thick">
        <color indexed="64"/>
      </left>
      <right style="hair">
        <color indexed="64"/>
      </right>
      <top style="thick">
        <color indexed="64"/>
      </top>
      <bottom style="double">
        <color indexed="64"/>
      </bottom>
      <diagonal/>
    </border>
    <border>
      <left style="hair">
        <color indexed="64"/>
      </left>
      <right/>
      <top style="thick">
        <color indexed="64"/>
      </top>
      <bottom style="double">
        <color indexed="64"/>
      </bottom>
      <diagonal/>
    </border>
    <border>
      <left style="hair">
        <color indexed="64"/>
      </left>
      <right style="hair">
        <color indexed="64"/>
      </right>
      <top style="thick">
        <color indexed="64"/>
      </top>
      <bottom style="double">
        <color indexed="64"/>
      </bottom>
      <diagonal/>
    </border>
    <border>
      <left/>
      <right style="hair">
        <color indexed="64"/>
      </right>
      <top style="thick">
        <color indexed="64"/>
      </top>
      <bottom style="double">
        <color indexed="64"/>
      </bottom>
      <diagonal/>
    </border>
    <border>
      <left style="hair">
        <color indexed="64"/>
      </left>
      <right style="thick">
        <color indexed="64"/>
      </right>
      <top style="thick">
        <color indexed="64"/>
      </top>
      <bottom style="double">
        <color indexed="64"/>
      </bottom>
      <diagonal/>
    </border>
    <border>
      <left style="hair">
        <color indexed="64"/>
      </left>
      <right/>
      <top style="thick">
        <color indexed="64"/>
      </top>
      <bottom/>
      <diagonal/>
    </border>
    <border>
      <left/>
      <right style="hair">
        <color indexed="64"/>
      </right>
      <top style="thick">
        <color indexed="64"/>
      </top>
      <bottom/>
      <diagonal/>
    </border>
    <border>
      <left style="hair">
        <color indexed="64"/>
      </left>
      <right style="hair">
        <color indexed="64"/>
      </right>
      <top style="hair">
        <color indexed="64"/>
      </top>
      <bottom/>
      <diagonal/>
    </border>
    <border>
      <left style="hair">
        <color indexed="64"/>
      </left>
      <right style="hair">
        <color indexed="64"/>
      </right>
      <top style="thick">
        <color indexed="64"/>
      </top>
      <bottom/>
      <diagonal/>
    </border>
    <border>
      <left style="hair">
        <color indexed="64"/>
      </left>
      <right style="thick">
        <color indexed="64"/>
      </right>
      <top style="thick">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double">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style="thick">
        <color indexed="64"/>
      </bottom>
      <diagonal/>
    </border>
    <border>
      <left/>
      <right style="hair">
        <color indexed="64"/>
      </right>
      <top/>
      <bottom style="thick">
        <color indexed="64"/>
      </bottom>
      <diagonal/>
    </border>
    <border>
      <left/>
      <right/>
      <top style="thick">
        <color indexed="64"/>
      </top>
      <bottom style="double">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medium">
        <color indexed="64"/>
      </right>
      <top/>
      <bottom style="hair">
        <color indexed="64"/>
      </bottom>
      <diagonal/>
    </border>
    <border>
      <left style="thick">
        <color indexed="64"/>
      </left>
      <right style="medium">
        <color indexed="64"/>
      </right>
      <top style="hair">
        <color indexed="64"/>
      </top>
      <bottom style="hair">
        <color indexed="64"/>
      </bottom>
      <diagonal/>
    </border>
    <border>
      <left style="thick">
        <color indexed="64"/>
      </left>
      <right style="medium">
        <color indexed="64"/>
      </right>
      <top/>
      <bottom style="thick">
        <color indexed="64"/>
      </bottom>
      <diagonal/>
    </border>
    <border>
      <left/>
      <right/>
      <top/>
      <bottom style="thick">
        <color indexed="64"/>
      </bottom>
      <diagonal/>
    </border>
    <border>
      <left style="medium">
        <color indexed="64"/>
      </left>
      <right style="medium">
        <color indexed="64"/>
      </right>
      <top style="hair">
        <color indexed="64"/>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medium">
        <color indexed="64"/>
      </left>
      <right/>
      <top style="thick">
        <color indexed="64"/>
      </top>
      <bottom style="double">
        <color indexed="64"/>
      </bottom>
      <diagonal/>
    </border>
    <border>
      <left/>
      <right style="medium">
        <color indexed="64"/>
      </right>
      <top style="thick">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ck">
        <color indexed="64"/>
      </left>
      <right/>
      <top style="medium">
        <color indexed="64"/>
      </top>
      <bottom style="double">
        <color indexed="64"/>
      </bottom>
      <diagonal/>
    </border>
    <border>
      <left style="thick">
        <color indexed="64"/>
      </left>
      <right/>
      <top/>
      <bottom style="hair">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hair">
        <color indexed="64"/>
      </bottom>
      <diagonal/>
    </border>
    <border>
      <left style="thick">
        <color indexed="64"/>
      </left>
      <right/>
      <top style="hair">
        <color indexed="64"/>
      </top>
      <bottom style="thick">
        <color indexed="64"/>
      </bottom>
      <diagonal/>
    </border>
    <border>
      <left style="thin">
        <color auto="1"/>
      </left>
      <right style="thin">
        <color auto="1"/>
      </right>
      <top style="thick">
        <color auto="1"/>
      </top>
      <bottom style="thin">
        <color auto="1"/>
      </bottom>
      <diagonal/>
    </border>
    <border>
      <left style="medium">
        <color indexed="64"/>
      </left>
      <right style="thick">
        <color indexed="64"/>
      </right>
      <top style="medium">
        <color indexed="64"/>
      </top>
      <bottom style="double">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ck">
        <color indexed="64"/>
      </bottom>
      <diagonal/>
    </border>
    <border>
      <left style="medium">
        <color indexed="64"/>
      </left>
      <right/>
      <top/>
      <bottom style="hair">
        <color indexed="64"/>
      </bottom>
      <diagonal/>
    </border>
    <border>
      <left/>
      <right/>
      <top style="thick">
        <color indexed="64"/>
      </top>
      <bottom style="medium">
        <color indexed="64"/>
      </bottom>
      <diagonal/>
    </border>
    <border>
      <left/>
      <right style="thick">
        <color indexed="64"/>
      </right>
      <top style="thick">
        <color indexed="64"/>
      </top>
      <bottom style="double">
        <color indexed="64"/>
      </bottom>
      <diagonal/>
    </border>
    <border>
      <left/>
      <right style="thick">
        <color indexed="64"/>
      </right>
      <top style="double">
        <color indexed="64"/>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style="thick">
        <color indexed="64"/>
      </bottom>
      <diagonal/>
    </border>
    <border>
      <left style="medium">
        <color indexed="64"/>
      </left>
      <right/>
      <top style="double">
        <color indexed="64"/>
      </top>
      <bottom/>
      <diagonal/>
    </border>
    <border>
      <left/>
      <right/>
      <top style="double">
        <color indexed="64"/>
      </top>
      <bottom/>
      <diagonal/>
    </border>
    <border>
      <left/>
      <right style="thick">
        <color indexed="64"/>
      </right>
      <top style="double">
        <color indexed="64"/>
      </top>
      <bottom/>
      <diagonal/>
    </border>
    <border>
      <left style="medium">
        <color indexed="64"/>
      </left>
      <right/>
      <top/>
      <bottom/>
      <diagonal/>
    </border>
    <border>
      <left/>
      <right style="thick">
        <color indexed="64"/>
      </right>
      <top/>
      <bottom/>
      <diagonal/>
    </border>
    <border>
      <left style="medium">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right/>
      <top/>
      <bottom style="thick">
        <color indexed="54"/>
      </bottom>
      <diagonal/>
    </border>
    <border>
      <left/>
      <right/>
      <top/>
      <bottom style="medium">
        <color indexed="44"/>
      </bottom>
      <diagonal/>
    </border>
    <border>
      <left style="thin">
        <color rgb="FF7F7F7F"/>
      </left>
      <right style="thin">
        <color rgb="FF7F7F7F"/>
      </right>
      <top style="thin">
        <color rgb="FF7F7F7F"/>
      </top>
      <bottom style="thin">
        <color rgb="FF7F7F7F"/>
      </bottom>
      <diagonal/>
    </border>
    <border>
      <left/>
      <right/>
      <top style="thin">
        <color indexed="54"/>
      </top>
      <bottom style="double">
        <color indexed="5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ck">
        <color indexed="64"/>
      </bottom>
      <diagonal/>
    </border>
    <border>
      <left/>
      <right style="medium">
        <color indexed="64"/>
      </right>
      <top style="hair">
        <color indexed="64"/>
      </top>
      <bottom style="thick">
        <color indexed="64"/>
      </bottom>
      <diagonal/>
    </border>
    <border>
      <left/>
      <right style="medium">
        <color indexed="64"/>
      </right>
      <top style="double">
        <color indexed="64"/>
      </top>
      <bottom/>
      <diagonal/>
    </border>
  </borders>
  <cellStyleXfs count="119">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3" borderId="0" applyNumberFormat="0" applyBorder="0" applyAlignment="0" applyProtection="0">
      <alignment vertical="center"/>
    </xf>
    <xf numFmtId="0" fontId="5" fillId="20" borderId="1" applyNumberFormat="0" applyAlignment="0" applyProtection="0">
      <alignment vertical="center"/>
    </xf>
    <xf numFmtId="0" fontId="6" fillId="21" borderId="2" applyNumberFormat="0" applyAlignment="0" applyProtection="0">
      <alignment vertical="center"/>
    </xf>
    <xf numFmtId="0" fontId="7" fillId="0" borderId="0" applyNumberFormat="0" applyFill="0" applyBorder="0" applyAlignment="0" applyProtection="0">
      <alignment vertical="center"/>
    </xf>
    <xf numFmtId="0" fontId="8" fillId="4" borderId="0" applyNumberFormat="0" applyBorder="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top"/>
      <protection locked="0"/>
    </xf>
    <xf numFmtId="0" fontId="12" fillId="7" borderId="1" applyNumberFormat="0" applyAlignment="0" applyProtection="0">
      <alignment vertical="center"/>
    </xf>
    <xf numFmtId="0" fontId="13" fillId="0" borderId="6" applyNumberFormat="0" applyFill="0" applyAlignment="0" applyProtection="0">
      <alignment vertical="center"/>
    </xf>
    <xf numFmtId="0" fontId="14" fillId="22" borderId="0" applyNumberFormat="0" applyBorder="0" applyAlignment="0" applyProtection="0">
      <alignment vertical="center"/>
    </xf>
    <xf numFmtId="0" fontId="25" fillId="0" borderId="0"/>
    <xf numFmtId="0" fontId="25" fillId="23" borderId="7" applyNumberFormat="0" applyFont="0" applyAlignment="0" applyProtection="0">
      <alignment vertical="center"/>
    </xf>
    <xf numFmtId="0" fontId="15" fillId="20" borderId="8" applyNumberForma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0" applyNumberFormat="0" applyFill="0" applyBorder="0" applyAlignment="0" applyProtection="0">
      <alignment vertical="center"/>
    </xf>
    <xf numFmtId="9" fontId="25" fillId="0" borderId="0" applyFont="0" applyFill="0" applyBorder="0" applyAlignment="0" applyProtection="0"/>
    <xf numFmtId="44" fontId="25" fillId="0" borderId="0" applyFont="0" applyFill="0" applyBorder="0" applyAlignment="0" applyProtection="0"/>
    <xf numFmtId="42"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0" fontId="3" fillId="6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3" fillId="8" borderId="0" applyNumberFormat="0" applyBorder="0" applyAlignment="0" applyProtection="0"/>
    <xf numFmtId="0" fontId="3" fillId="64"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 fillId="23" borderId="0" applyNumberFormat="0" applyBorder="0" applyAlignment="0" applyProtection="0"/>
    <xf numFmtId="0" fontId="2" fillId="4" borderId="0" applyNumberFormat="0" applyBorder="0" applyAlignment="0" applyProtection="0"/>
    <xf numFmtId="0" fontId="3" fillId="20" borderId="0" applyNumberFormat="0" applyBorder="0" applyAlignment="0" applyProtection="0"/>
    <xf numFmtId="0" fontId="3" fillId="63" borderId="0" applyNumberFormat="0" applyBorder="0" applyAlignment="0" applyProtection="0"/>
    <xf numFmtId="0" fontId="2" fillId="2" borderId="0" applyNumberFormat="0" applyBorder="0" applyAlignment="0" applyProtection="0"/>
    <xf numFmtId="0" fontId="2" fillId="20" borderId="0" applyNumberFormat="0" applyBorder="0" applyAlignment="0" applyProtection="0"/>
    <xf numFmtId="0" fontId="3" fillId="20" borderId="0" applyNumberFormat="0" applyBorder="0" applyAlignment="0" applyProtection="0"/>
    <xf numFmtId="0" fontId="3" fillId="14"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3" fillId="8" borderId="0" applyNumberFormat="0" applyBorder="0" applyAlignment="0" applyProtection="0"/>
    <xf numFmtId="0" fontId="3" fillId="15" borderId="0" applyNumberFormat="0" applyBorder="0" applyAlignment="0" applyProtection="0"/>
    <xf numFmtId="0" fontId="2" fillId="23" borderId="0" applyNumberFormat="0" applyBorder="0" applyAlignment="0" applyProtection="0"/>
    <xf numFmtId="0" fontId="2" fillId="7" borderId="0" applyNumberFormat="0" applyBorder="0" applyAlignment="0" applyProtection="0"/>
    <xf numFmtId="0" fontId="3" fillId="7" borderId="0" applyNumberFormat="0" applyBorder="0" applyAlignment="0" applyProtection="0"/>
    <xf numFmtId="0" fontId="99" fillId="3" borderId="0" applyNumberFormat="0" applyBorder="0" applyAlignment="0" applyProtection="0"/>
    <xf numFmtId="0" fontId="4" fillId="3" borderId="0" applyNumberFormat="0" applyBorder="0" applyAlignment="0" applyProtection="0"/>
    <xf numFmtId="0" fontId="100" fillId="25" borderId="1" applyNumberFormat="0" applyAlignment="0" applyProtection="0"/>
    <xf numFmtId="0" fontId="6" fillId="21" borderId="2" applyNumberFormat="0" applyAlignment="0" applyProtection="0"/>
    <xf numFmtId="43" fontId="25" fillId="0" borderId="0" applyFont="0" applyFill="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8" fillId="4" borderId="0" applyNumberFormat="0" applyBorder="0" applyAlignment="0" applyProtection="0"/>
    <xf numFmtId="0" fontId="101" fillId="0" borderId="113" applyNumberFormat="0" applyFill="0" applyAlignment="0" applyProtection="0"/>
    <xf numFmtId="0" fontId="102" fillId="0" borderId="4" applyNumberFormat="0" applyFill="0" applyAlignment="0" applyProtection="0"/>
    <xf numFmtId="0" fontId="103" fillId="0" borderId="114" applyNumberFormat="0" applyFill="0" applyAlignment="0" applyProtection="0"/>
    <xf numFmtId="0" fontId="103" fillId="0" borderId="0" applyNumberFormat="0" applyFill="0" applyBorder="0" applyAlignment="0" applyProtection="0"/>
    <xf numFmtId="0" fontId="98" fillId="0" borderId="0" applyNumberFormat="0" applyFill="0" applyBorder="0">
      <protection locked="0"/>
    </xf>
    <xf numFmtId="0" fontId="12" fillId="7" borderId="1" applyNumberFormat="0" applyAlignment="0" applyProtection="0"/>
    <xf numFmtId="0" fontId="107" fillId="68" borderId="115" applyNumberFormat="0" applyAlignment="0" applyProtection="0"/>
    <xf numFmtId="0" fontId="104" fillId="0" borderId="6" applyNumberFormat="0" applyFill="0" applyAlignment="0" applyProtection="0"/>
    <xf numFmtId="0" fontId="14" fillId="22" borderId="0" applyNumberFormat="0" applyBorder="0" applyAlignment="0" applyProtection="0"/>
    <xf numFmtId="0" fontId="2" fillId="0" borderId="0"/>
    <xf numFmtId="0" fontId="25" fillId="0" borderId="0"/>
    <xf numFmtId="0" fontId="1" fillId="0" borderId="0"/>
    <xf numFmtId="0" fontId="1" fillId="0" borderId="0"/>
    <xf numFmtId="0" fontId="1" fillId="0" borderId="0"/>
    <xf numFmtId="0" fontId="25" fillId="0" borderId="0"/>
    <xf numFmtId="0" fontId="25" fillId="0" borderId="0"/>
    <xf numFmtId="0" fontId="106" fillId="0" borderId="0"/>
    <xf numFmtId="0" fontId="106" fillId="0" borderId="0"/>
    <xf numFmtId="0" fontId="106" fillId="0" borderId="0"/>
    <xf numFmtId="0" fontId="25" fillId="23" borderId="7" applyNumberFormat="0" applyFont="0" applyAlignment="0" applyProtection="0"/>
    <xf numFmtId="0" fontId="15" fillId="25" borderId="8" applyNumberFormat="0" applyAlignment="0" applyProtection="0"/>
    <xf numFmtId="0" fontId="105" fillId="0" borderId="0" applyNumberFormat="0" applyFill="0" applyBorder="0" applyAlignment="0" applyProtection="0"/>
    <xf numFmtId="0" fontId="17" fillId="0" borderId="116" applyNumberFormat="0" applyFill="0" applyAlignment="0" applyProtection="0"/>
    <xf numFmtId="0" fontId="18" fillId="0" borderId="0" applyNumberFormat="0" applyFill="0" applyBorder="0" applyAlignment="0" applyProtection="0"/>
    <xf numFmtId="0" fontId="96" fillId="0" borderId="0" applyNumberFormat="0" applyFill="0" applyBorder="0" applyAlignment="0" applyProtection="0"/>
    <xf numFmtId="0" fontId="1" fillId="0" borderId="0"/>
    <xf numFmtId="0" fontId="1" fillId="0" borderId="0"/>
    <xf numFmtId="44" fontId="25" fillId="0" borderId="0" applyFont="0" applyFill="0" applyBorder="0" applyAlignment="0" applyProtection="0"/>
    <xf numFmtId="42"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108" fillId="0" borderId="0" applyFont="0" applyFill="0" applyBorder="0" applyAlignment="0" applyProtection="0"/>
    <xf numFmtId="44" fontId="2" fillId="0" borderId="0" applyFont="0" applyFill="0" applyBorder="0" applyAlignment="0" applyProtection="0"/>
    <xf numFmtId="0" fontId="97" fillId="0" borderId="0"/>
    <xf numFmtId="9" fontId="2"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cellStyleXfs>
  <cellXfs count="745">
    <xf numFmtId="0" fontId="0" fillId="0" borderId="0" xfId="0"/>
    <xf numFmtId="0" fontId="22" fillId="0" borderId="7" xfId="0" applyFont="1" applyBorder="1" applyAlignment="1">
      <alignment horizontal="left" wrapText="1"/>
    </xf>
    <xf numFmtId="0" fontId="23" fillId="0" borderId="7" xfId="0" applyFont="1" applyBorder="1" applyAlignment="1">
      <alignment horizontal="left"/>
    </xf>
    <xf numFmtId="0" fontId="22" fillId="0" borderId="10" xfId="0" applyFont="1" applyBorder="1" applyAlignment="1">
      <alignment horizontal="left" wrapText="1"/>
    </xf>
    <xf numFmtId="0" fontId="22" fillId="0" borderId="0" xfId="0" applyFont="1" applyAlignment="1">
      <alignment horizontal="left" wrapText="1"/>
    </xf>
    <xf numFmtId="0" fontId="23" fillId="0" borderId="0" xfId="0" applyFont="1" applyAlignment="1">
      <alignment horizontal="left"/>
    </xf>
    <xf numFmtId="0" fontId="27" fillId="0" borderId="0" xfId="0" applyFont="1"/>
    <xf numFmtId="0" fontId="36" fillId="0" borderId="11" xfId="0" applyFont="1" applyBorder="1" applyAlignment="1" applyProtection="1">
      <alignment horizontal="center" vertical="center"/>
      <protection locked="0"/>
    </xf>
    <xf numFmtId="0" fontId="37" fillId="0" borderId="0" xfId="0" applyFont="1" applyAlignment="1" applyProtection="1">
      <alignment horizontal="right" vertical="center"/>
      <protection locked="0"/>
    </xf>
    <xf numFmtId="0" fontId="39" fillId="0" borderId="13" xfId="0" applyFont="1" applyBorder="1" applyAlignment="1" applyProtection="1">
      <alignment horizontal="center" vertical="center" wrapText="1"/>
      <protection locked="0"/>
    </xf>
    <xf numFmtId="0" fontId="39" fillId="0" borderId="14" xfId="0" applyFont="1" applyBorder="1" applyAlignment="1" applyProtection="1">
      <alignment horizontal="center" vertical="center"/>
      <protection locked="0"/>
    </xf>
    <xf numFmtId="0" fontId="39" fillId="0" borderId="16" xfId="0" applyFont="1" applyBorder="1" applyAlignment="1" applyProtection="1">
      <alignment horizontal="center" vertical="center" wrapText="1" shrinkToFit="1"/>
      <protection locked="0"/>
    </xf>
    <xf numFmtId="0" fontId="39" fillId="0" borderId="17" xfId="0" applyFont="1" applyBorder="1" applyAlignment="1" applyProtection="1">
      <alignment horizontal="center" vertical="center" wrapText="1"/>
      <protection locked="0"/>
    </xf>
    <xf numFmtId="0" fontId="39" fillId="0" borderId="18" xfId="0" applyFont="1" applyBorder="1" applyAlignment="1" applyProtection="1">
      <alignment horizontal="center" vertical="center" wrapText="1"/>
      <protection locked="0"/>
    </xf>
    <xf numFmtId="0" fontId="39" fillId="0" borderId="18" xfId="0" applyFont="1" applyBorder="1" applyAlignment="1" applyProtection="1">
      <alignment horizontal="center" vertical="center"/>
      <protection locked="0"/>
    </xf>
    <xf numFmtId="0" fontId="39" fillId="0" borderId="18" xfId="0" applyFont="1" applyBorder="1" applyAlignment="1" applyProtection="1">
      <alignment horizontal="center" vertical="center" wrapText="1" shrinkToFit="1"/>
      <protection locked="0"/>
    </xf>
    <xf numFmtId="0" fontId="39" fillId="0" borderId="18" xfId="0" applyFont="1" applyBorder="1" applyAlignment="1" applyProtection="1">
      <alignment horizontal="center" vertical="center" shrinkToFit="1"/>
      <protection locked="0"/>
    </xf>
    <xf numFmtId="0" fontId="39" fillId="0" borderId="19" xfId="0" applyFont="1" applyBorder="1" applyAlignment="1" applyProtection="1">
      <alignment horizontal="center" vertical="center" wrapText="1"/>
      <protection locked="0"/>
    </xf>
    <xf numFmtId="0" fontId="39" fillId="0" borderId="14" xfId="0" applyFont="1" applyBorder="1" applyAlignment="1" applyProtection="1">
      <alignment horizontal="center" vertical="center" wrapText="1" shrinkToFit="1"/>
      <protection locked="0"/>
    </xf>
    <xf numFmtId="0" fontId="39" fillId="0" borderId="14" xfId="0" applyFont="1" applyBorder="1" applyAlignment="1" applyProtection="1">
      <alignment horizontal="center" vertical="center" wrapText="1"/>
      <protection locked="0"/>
    </xf>
    <xf numFmtId="0" fontId="39" fillId="0" borderId="20" xfId="0" applyFont="1" applyBorder="1" applyAlignment="1" applyProtection="1">
      <alignment horizontal="center" vertical="center" wrapText="1"/>
      <protection locked="0"/>
    </xf>
    <xf numFmtId="0" fontId="39" fillId="0" borderId="21" xfId="0" applyFont="1" applyBorder="1" applyAlignment="1" applyProtection="1">
      <alignment horizontal="center" vertical="center" wrapText="1"/>
      <protection locked="0"/>
    </xf>
    <xf numFmtId="0" fontId="39" fillId="0" borderId="21" xfId="0" applyFont="1" applyBorder="1" applyAlignment="1" applyProtection="1">
      <alignment horizontal="center" vertical="center"/>
      <protection locked="0"/>
    </xf>
    <xf numFmtId="0" fontId="39" fillId="0" borderId="15" xfId="0" applyFont="1" applyBorder="1" applyAlignment="1" applyProtection="1">
      <alignment horizontal="center" vertical="center" wrapText="1"/>
      <protection locked="0"/>
    </xf>
    <xf numFmtId="0" fontId="39" fillId="0" borderId="16" xfId="0" applyFont="1" applyBorder="1" applyAlignment="1" applyProtection="1">
      <alignment horizontal="center" vertical="center"/>
      <protection locked="0"/>
    </xf>
    <xf numFmtId="0" fontId="39" fillId="0" borderId="16" xfId="0" applyFont="1" applyBorder="1" applyAlignment="1" applyProtection="1">
      <alignment horizontal="center" vertical="center" wrapText="1"/>
      <protection locked="0"/>
    </xf>
    <xf numFmtId="0" fontId="39" fillId="0" borderId="16" xfId="0" applyFont="1" applyBorder="1" applyAlignment="1" applyProtection="1">
      <alignment horizontal="center" vertical="center" shrinkToFit="1"/>
      <protection locked="0"/>
    </xf>
    <xf numFmtId="0" fontId="39" fillId="0" borderId="23"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39" fillId="0" borderId="21" xfId="0" applyFont="1" applyBorder="1" applyAlignment="1" applyProtection="1">
      <alignment horizontal="center" vertical="center" shrinkToFit="1"/>
      <protection locked="0"/>
    </xf>
    <xf numFmtId="0" fontId="31" fillId="0" borderId="12" xfId="0" applyFont="1" applyBorder="1" applyAlignment="1" applyProtection="1">
      <alignment horizontal="center" vertical="center" wrapText="1"/>
      <protection locked="0"/>
    </xf>
    <xf numFmtId="0" fontId="31" fillId="0" borderId="26" xfId="0" applyFont="1" applyBorder="1" applyAlignment="1" applyProtection="1">
      <alignment horizontal="center" vertical="center" wrapText="1"/>
      <protection locked="0"/>
    </xf>
    <xf numFmtId="0" fontId="0" fillId="0" borderId="0" xfId="0" applyProtection="1">
      <protection locked="0"/>
    </xf>
    <xf numFmtId="0" fontId="0" fillId="0" borderId="27" xfId="0" applyBorder="1" applyProtection="1">
      <protection locked="0"/>
    </xf>
    <xf numFmtId="0" fontId="0" fillId="26" borderId="0" xfId="0" applyFill="1"/>
    <xf numFmtId="0" fontId="0" fillId="0" borderId="0" xfId="0" applyAlignment="1">
      <alignment wrapText="1"/>
    </xf>
    <xf numFmtId="0" fontId="23" fillId="0" borderId="0" xfId="0" applyFont="1" applyAlignment="1">
      <alignment horizontal="left" vertical="center" wrapText="1"/>
    </xf>
    <xf numFmtId="0" fontId="20" fillId="26" borderId="0" xfId="0" applyFont="1" applyFill="1"/>
    <xf numFmtId="0" fontId="20" fillId="0" borderId="0" xfId="0" applyFont="1"/>
    <xf numFmtId="0" fontId="39" fillId="0" borderId="25" xfId="0" applyFont="1" applyBorder="1" applyAlignment="1" applyProtection="1">
      <alignment horizontal="center" vertical="center" wrapText="1"/>
      <protection locked="0"/>
    </xf>
    <xf numFmtId="0" fontId="39" fillId="0" borderId="32" xfId="0" applyFont="1" applyBorder="1" applyAlignment="1" applyProtection="1">
      <alignment horizontal="center" vertical="center"/>
      <protection locked="0"/>
    </xf>
    <xf numFmtId="0" fontId="39" fillId="0" borderId="25" xfId="0" applyFont="1" applyBorder="1" applyAlignment="1" applyProtection="1">
      <alignment horizontal="center" vertical="center"/>
      <protection locked="0"/>
    </xf>
    <xf numFmtId="0" fontId="38" fillId="0" borderId="33" xfId="0" applyFont="1" applyBorder="1" applyAlignment="1" applyProtection="1">
      <alignment vertical="center"/>
      <protection locked="0"/>
    </xf>
    <xf numFmtId="0" fontId="39" fillId="0" borderId="21" xfId="0" applyFont="1" applyBorder="1" applyAlignment="1" applyProtection="1">
      <alignment horizontal="center" vertical="center" wrapText="1" shrinkToFit="1"/>
      <protection locked="0"/>
    </xf>
    <xf numFmtId="0" fontId="39" fillId="0" borderId="37" xfId="0" applyFont="1" applyBorder="1" applyAlignment="1" applyProtection="1">
      <alignment horizontal="center" vertical="center" wrapText="1"/>
      <protection locked="0"/>
    </xf>
    <xf numFmtId="0" fontId="39" fillId="0" borderId="37" xfId="0" applyFont="1" applyBorder="1" applyAlignment="1" applyProtection="1">
      <alignment horizontal="center" vertical="center"/>
      <protection locked="0"/>
    </xf>
    <xf numFmtId="0" fontId="39" fillId="0" borderId="37" xfId="0" applyFont="1" applyBorder="1" applyAlignment="1" applyProtection="1">
      <alignment horizontal="center" vertical="center" wrapText="1" shrinkToFit="1"/>
      <protection locked="0"/>
    </xf>
    <xf numFmtId="0" fontId="28" fillId="0" borderId="11" xfId="0" applyFont="1" applyBorder="1" applyAlignment="1" applyProtection="1">
      <alignment vertical="center"/>
      <protection locked="0"/>
    </xf>
    <xf numFmtId="0" fontId="32" fillId="0" borderId="18" xfId="0" applyFont="1" applyBorder="1" applyAlignment="1" applyProtection="1">
      <alignment vertical="center"/>
      <protection locked="0"/>
    </xf>
    <xf numFmtId="0" fontId="32" fillId="0" borderId="21" xfId="0" applyFont="1" applyBorder="1" applyAlignment="1" applyProtection="1">
      <alignment vertical="center"/>
      <protection locked="0"/>
    </xf>
    <xf numFmtId="0" fontId="30" fillId="0" borderId="40" xfId="0" applyFont="1" applyBorder="1" applyAlignment="1" applyProtection="1">
      <alignment horizontal="center" vertical="center"/>
      <protection locked="0"/>
    </xf>
    <xf numFmtId="0" fontId="30" fillId="0" borderId="41" xfId="0"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0" fillId="0" borderId="43" xfId="0" applyFont="1" applyBorder="1" applyAlignment="1" applyProtection="1">
      <alignment horizontal="center" vertical="center"/>
      <protection locked="0"/>
    </xf>
    <xf numFmtId="0" fontId="32" fillId="0" borderId="0" xfId="0" applyFont="1" applyAlignment="1" applyProtection="1">
      <alignment vertical="center"/>
      <protection locked="0"/>
    </xf>
    <xf numFmtId="0" fontId="32" fillId="0" borderId="0" xfId="0" applyFont="1" applyAlignment="1" applyProtection="1">
      <alignment horizontal="center" vertical="center" wrapText="1"/>
      <protection locked="0"/>
    </xf>
    <xf numFmtId="0" fontId="41" fillId="0" borderId="0" xfId="0" applyFont="1" applyAlignment="1" applyProtection="1">
      <alignment horizontal="center" wrapText="1" shrinkToFit="1"/>
      <protection locked="0"/>
    </xf>
    <xf numFmtId="0" fontId="32" fillId="0" borderId="0" xfId="0" applyFont="1" applyAlignment="1" applyProtection="1">
      <alignment horizontal="left" vertical="top" wrapText="1"/>
      <protection locked="0"/>
    </xf>
    <xf numFmtId="0" fontId="29" fillId="0" borderId="0" xfId="0" applyFont="1" applyAlignment="1" applyProtection="1">
      <alignment horizontal="left" vertical="center"/>
      <protection locked="0"/>
    </xf>
    <xf numFmtId="0" fontId="32" fillId="0" borderId="0" xfId="0" applyFont="1" applyAlignment="1" applyProtection="1">
      <alignment horizontal="left" vertical="center"/>
      <protection locked="0"/>
    </xf>
    <xf numFmtId="14" fontId="29" fillId="0" borderId="0" xfId="0" applyNumberFormat="1" applyFont="1" applyAlignment="1" applyProtection="1">
      <alignment horizontal="left" vertical="center"/>
      <protection locked="0"/>
    </xf>
    <xf numFmtId="0" fontId="29" fillId="0" borderId="0" xfId="0" applyFont="1" applyAlignment="1" applyProtection="1">
      <alignment horizontal="left" vertical="center" indent="1" shrinkToFit="1"/>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29" fillId="0" borderId="0" xfId="0" applyFont="1" applyAlignment="1" applyProtection="1">
      <alignment horizontal="center" vertical="center" shrinkToFit="1"/>
      <protection locked="0"/>
    </xf>
    <xf numFmtId="0" fontId="32" fillId="0" borderId="0" xfId="0" applyFont="1" applyAlignment="1" applyProtection="1">
      <alignment horizontal="center" vertical="center"/>
      <protection locked="0"/>
    </xf>
    <xf numFmtId="0" fontId="30" fillId="2" borderId="48" xfId="0" applyFont="1" applyFill="1" applyBorder="1" applyAlignment="1" applyProtection="1">
      <alignment horizontal="center" vertical="center" wrapText="1"/>
      <protection locked="0"/>
    </xf>
    <xf numFmtId="0" fontId="30" fillId="2" borderId="49" xfId="0" applyFont="1" applyFill="1" applyBorder="1" applyAlignment="1" applyProtection="1">
      <alignment horizontal="center" vertical="center" wrapText="1"/>
      <protection locked="0"/>
    </xf>
    <xf numFmtId="0" fontId="30" fillId="2" borderId="50"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0" fillId="2" borderId="52" xfId="0" applyFont="1" applyFill="1" applyBorder="1" applyAlignment="1" applyProtection="1">
      <alignment horizontal="center" vertical="center" wrapText="1"/>
      <protection locked="0"/>
    </xf>
    <xf numFmtId="0" fontId="31" fillId="25" borderId="25" xfId="0" applyFont="1" applyFill="1" applyBorder="1" applyAlignment="1" applyProtection="1">
      <alignment horizontal="center" vertical="center" wrapText="1"/>
      <protection locked="0"/>
    </xf>
    <xf numFmtId="0" fontId="31" fillId="25" borderId="18" xfId="0" applyFont="1" applyFill="1" applyBorder="1" applyAlignment="1" applyProtection="1">
      <alignment horizontal="center" vertical="center" wrapText="1"/>
      <protection locked="0"/>
    </xf>
    <xf numFmtId="0" fontId="31" fillId="25" borderId="21" xfId="0" applyFont="1" applyFill="1" applyBorder="1" applyAlignment="1" applyProtection="1">
      <alignment horizontal="center" vertical="center" wrapText="1"/>
      <protection locked="0"/>
    </xf>
    <xf numFmtId="0" fontId="39" fillId="0" borderId="55" xfId="0" applyFont="1" applyBorder="1" applyAlignment="1" applyProtection="1">
      <alignment horizontal="center" vertical="center" wrapText="1"/>
      <protection locked="0"/>
    </xf>
    <xf numFmtId="0" fontId="34" fillId="0" borderId="33" xfId="0" applyFont="1" applyBorder="1" applyAlignment="1" applyProtection="1">
      <alignment vertical="center"/>
      <protection locked="0"/>
    </xf>
    <xf numFmtId="0" fontId="30" fillId="2" borderId="56" xfId="0" applyFont="1" applyFill="1" applyBorder="1" applyAlignment="1" applyProtection="1">
      <alignment horizontal="center" vertical="center" wrapText="1"/>
      <protection locked="0"/>
    </xf>
    <xf numFmtId="0" fontId="30" fillId="2" borderId="57" xfId="0" applyFont="1" applyFill="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48" fillId="0" borderId="0" xfId="0" applyFont="1" applyAlignment="1" applyProtection="1">
      <alignment vertical="center"/>
      <protection locked="0"/>
    </xf>
    <xf numFmtId="0" fontId="0" fillId="0" borderId="0" xfId="0" applyAlignment="1" applyProtection="1">
      <alignment vertical="center"/>
      <protection locked="0"/>
    </xf>
    <xf numFmtId="164" fontId="35" fillId="0" borderId="0" xfId="0" applyNumberFormat="1" applyFont="1" applyAlignment="1" applyProtection="1">
      <alignment vertical="center"/>
      <protection locked="0"/>
    </xf>
    <xf numFmtId="0" fontId="29" fillId="0" borderId="46" xfId="0" applyFont="1" applyBorder="1" applyAlignment="1" applyProtection="1">
      <alignment horizontal="left" vertical="center"/>
      <protection locked="0"/>
    </xf>
    <xf numFmtId="0" fontId="29" fillId="0" borderId="0" xfId="0" applyFont="1" applyAlignment="1" applyProtection="1">
      <alignment horizontal="left" vertical="top"/>
      <protection locked="0"/>
    </xf>
    <xf numFmtId="0" fontId="29" fillId="0" borderId="0" xfId="0" applyFont="1" applyAlignment="1" applyProtection="1">
      <alignment horizontal="center" vertical="center"/>
      <protection locked="0"/>
    </xf>
    <xf numFmtId="0" fontId="43" fillId="0" borderId="0" xfId="0" applyFont="1" applyAlignment="1" applyProtection="1">
      <alignment horizontal="center" vertical="center"/>
      <protection locked="0"/>
    </xf>
    <xf numFmtId="0" fontId="39" fillId="0" borderId="16"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21" xfId="0" applyFont="1" applyBorder="1" applyAlignment="1">
      <alignment horizontal="center" vertical="center" wrapText="1"/>
    </xf>
    <xf numFmtId="0" fontId="0" fillId="0" borderId="7" xfId="0" applyBorder="1"/>
    <xf numFmtId="0" fontId="46" fillId="0" borderId="0" xfId="0" applyFont="1" applyAlignment="1" applyProtection="1">
      <alignment horizontal="center"/>
      <protection locked="0"/>
    </xf>
    <xf numFmtId="0" fontId="0" fillId="0" borderId="0" xfId="0" applyAlignment="1" applyProtection="1">
      <alignment horizontal="center"/>
      <protection locked="0"/>
    </xf>
    <xf numFmtId="0" fontId="47" fillId="0" borderId="12" xfId="0" applyFont="1" applyBorder="1" applyAlignment="1">
      <alignment horizontal="center"/>
    </xf>
    <xf numFmtId="1" fontId="47" fillId="0" borderId="12" xfId="0" applyNumberFormat="1" applyFont="1" applyBorder="1" applyAlignment="1">
      <alignment horizontal="center"/>
    </xf>
    <xf numFmtId="0" fontId="46" fillId="0" borderId="12" xfId="0" applyFont="1" applyBorder="1" applyAlignment="1">
      <alignment horizontal="center"/>
    </xf>
    <xf numFmtId="0" fontId="46" fillId="0" borderId="27" xfId="0" applyFont="1" applyBorder="1" applyProtection="1">
      <protection locked="0"/>
    </xf>
    <xf numFmtId="0" fontId="20" fillId="10" borderId="12" xfId="0" applyFont="1" applyFill="1" applyBorder="1" applyAlignment="1" applyProtection="1">
      <alignment horizontal="center"/>
      <protection locked="0"/>
    </xf>
    <xf numFmtId="0" fontId="30" fillId="2" borderId="53" xfId="0" applyFont="1" applyFill="1" applyBorder="1" applyAlignment="1" applyProtection="1">
      <alignment horizontal="center" vertical="center" wrapText="1"/>
      <protection locked="0"/>
    </xf>
    <xf numFmtId="0" fontId="39" fillId="0" borderId="22" xfId="0" applyFont="1" applyBorder="1" applyAlignment="1" applyProtection="1">
      <alignment horizontal="center" vertical="center" wrapText="1"/>
      <protection locked="0"/>
    </xf>
    <xf numFmtId="0" fontId="39" fillId="0" borderId="24" xfId="0" applyFont="1" applyBorder="1" applyAlignment="1" applyProtection="1">
      <alignment horizontal="center" vertical="center" wrapText="1"/>
      <protection locked="0"/>
    </xf>
    <xf numFmtId="0" fontId="38" fillId="0" borderId="47" xfId="0" applyFont="1" applyBorder="1" applyAlignment="1" applyProtection="1">
      <alignment horizontal="left" vertical="center"/>
      <protection locked="0"/>
    </xf>
    <xf numFmtId="0" fontId="34" fillId="0" borderId="33" xfId="0" applyFont="1" applyBorder="1" applyAlignment="1" applyProtection="1">
      <alignment horizontal="left" vertical="center"/>
      <protection locked="0"/>
    </xf>
    <xf numFmtId="0" fontId="51" fillId="25" borderId="12" xfId="0" applyFont="1" applyFill="1" applyBorder="1" applyAlignment="1" applyProtection="1">
      <alignment horizontal="center" vertical="center" wrapText="1"/>
      <protection locked="0"/>
    </xf>
    <xf numFmtId="0" fontId="51" fillId="25" borderId="12" xfId="34" applyFont="1" applyFill="1" applyBorder="1" applyAlignment="1">
      <alignment horizontal="center" vertical="center" wrapText="1"/>
      <protection locked="0"/>
    </xf>
    <xf numFmtId="0" fontId="0" fillId="0" borderId="0" xfId="0"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53" fillId="0" borderId="0" xfId="0" applyFont="1" applyProtection="1">
      <protection locked="0"/>
    </xf>
    <xf numFmtId="0" fontId="38" fillId="0" borderId="26" xfId="0" applyFont="1" applyBorder="1" applyAlignment="1" applyProtection="1">
      <alignment vertical="center"/>
      <protection locked="0"/>
    </xf>
    <xf numFmtId="0" fontId="34" fillId="0" borderId="35" xfId="0" applyFont="1" applyBorder="1" applyAlignment="1" applyProtection="1">
      <alignment vertical="center"/>
      <protection locked="0"/>
    </xf>
    <xf numFmtId="0" fontId="34" fillId="0" borderId="36" xfId="0" applyFont="1" applyBorder="1" applyAlignment="1" applyProtection="1">
      <alignment vertical="center"/>
      <protection locked="0"/>
    </xf>
    <xf numFmtId="14" fontId="29" fillId="0" borderId="36" xfId="0" applyNumberFormat="1" applyFont="1" applyBorder="1" applyAlignment="1" applyProtection="1">
      <alignment horizontal="left" vertical="center"/>
      <protection locked="0"/>
    </xf>
    <xf numFmtId="0" fontId="63" fillId="0" borderId="0" xfId="0" applyFont="1"/>
    <xf numFmtId="0" fontId="39" fillId="0" borderId="16" xfId="0" applyFont="1" applyBorder="1" applyAlignment="1">
      <alignment horizontal="center" vertical="center" wrapText="1" shrinkToFit="1"/>
    </xf>
    <xf numFmtId="0" fontId="39" fillId="0" borderId="18" xfId="0" applyFont="1" applyBorder="1" applyAlignment="1">
      <alignment horizontal="center" vertical="center" wrapText="1" shrinkToFit="1"/>
    </xf>
    <xf numFmtId="0" fontId="39" fillId="0" borderId="21" xfId="0" applyFont="1" applyBorder="1" applyAlignment="1">
      <alignment horizontal="center" vertical="center" wrapText="1" shrinkToFit="1"/>
    </xf>
    <xf numFmtId="0" fontId="0" fillId="33" borderId="0" xfId="0" applyFill="1"/>
    <xf numFmtId="0" fontId="39" fillId="0" borderId="22" xfId="0" applyFont="1" applyBorder="1" applyAlignment="1" applyProtection="1">
      <alignment horizontal="center" vertical="center" wrapText="1" shrinkToFit="1"/>
      <protection locked="0"/>
    </xf>
    <xf numFmtId="0" fontId="39" fillId="0" borderId="19" xfId="0" applyFont="1" applyBorder="1" applyAlignment="1" applyProtection="1">
      <alignment horizontal="center" vertical="center" wrapText="1" shrinkToFit="1"/>
      <protection locked="0"/>
    </xf>
    <xf numFmtId="0" fontId="39" fillId="0" borderId="24" xfId="0" applyFont="1" applyBorder="1" applyAlignment="1" applyProtection="1">
      <alignment horizontal="center" vertical="center" wrapText="1" shrinkToFit="1"/>
      <protection locked="0"/>
    </xf>
    <xf numFmtId="0" fontId="28" fillId="0" borderId="59" xfId="0" applyFont="1" applyBorder="1" applyAlignment="1" applyProtection="1">
      <alignment vertical="center"/>
      <protection locked="0"/>
    </xf>
    <xf numFmtId="0" fontId="28" fillId="0" borderId="27" xfId="0" applyFont="1" applyBorder="1" applyAlignment="1" applyProtection="1">
      <alignment vertical="center"/>
      <protection locked="0"/>
    </xf>
    <xf numFmtId="0" fontId="33" fillId="0" borderId="0" xfId="0" applyFont="1" applyAlignment="1" applyProtection="1">
      <alignment vertical="center"/>
      <protection locked="0"/>
    </xf>
    <xf numFmtId="0" fontId="33" fillId="0" borderId="33" xfId="0" applyFont="1" applyBorder="1" applyAlignment="1" applyProtection="1">
      <alignment vertical="center"/>
      <protection locked="0"/>
    </xf>
    <xf numFmtId="0" fontId="32" fillId="0" borderId="35" xfId="0" applyFont="1" applyBorder="1" applyAlignment="1" applyProtection="1">
      <alignment vertical="center"/>
      <protection locked="0"/>
    </xf>
    <xf numFmtId="0" fontId="32" fillId="0" borderId="33" xfId="0" applyFont="1" applyBorder="1" applyAlignment="1" applyProtection="1">
      <alignment vertical="center"/>
      <protection locked="0"/>
    </xf>
    <xf numFmtId="0" fontId="60" fillId="0" borderId="0" xfId="0" applyFont="1" applyAlignment="1" applyProtection="1">
      <alignment vertical="center"/>
      <protection locked="0"/>
    </xf>
    <xf numFmtId="0" fontId="29" fillId="0" borderId="58" xfId="0" applyFont="1" applyBorder="1" applyAlignment="1" applyProtection="1">
      <alignment horizontal="left" vertical="center"/>
      <protection locked="0"/>
    </xf>
    <xf numFmtId="0" fontId="29" fillId="0" borderId="0" xfId="0" applyFont="1" applyAlignment="1" applyProtection="1">
      <alignment horizontal="left" vertical="top" wrapText="1"/>
      <protection locked="0"/>
    </xf>
    <xf numFmtId="0" fontId="30" fillId="0" borderId="73" xfId="0" applyFont="1" applyBorder="1" applyAlignment="1" applyProtection="1">
      <alignment horizontal="center" vertical="center"/>
      <protection locked="0"/>
    </xf>
    <xf numFmtId="0" fontId="30" fillId="0" borderId="74" xfId="0" applyFont="1" applyBorder="1" applyAlignment="1" applyProtection="1">
      <alignment horizontal="center" vertical="center"/>
      <protection locked="0"/>
    </xf>
    <xf numFmtId="0" fontId="30" fillId="0" borderId="75" xfId="0" applyFont="1" applyBorder="1" applyAlignment="1" applyProtection="1">
      <alignment horizontal="center" vertical="center"/>
      <protection locked="0"/>
    </xf>
    <xf numFmtId="0" fontId="66" fillId="0" borderId="0" xfId="0" applyFont="1" applyAlignment="1" applyProtection="1">
      <alignment horizontal="center" vertical="center"/>
      <protection locked="0"/>
    </xf>
    <xf numFmtId="0" fontId="30" fillId="36" borderId="49" xfId="0" applyFont="1" applyFill="1" applyBorder="1" applyAlignment="1" applyProtection="1">
      <alignment horizontal="center" vertical="center" wrapText="1"/>
      <protection locked="0"/>
    </xf>
    <xf numFmtId="0" fontId="30" fillId="36" borderId="50" xfId="0" applyFont="1" applyFill="1" applyBorder="1" applyAlignment="1" applyProtection="1">
      <alignment horizontal="center" vertical="center" wrapText="1"/>
      <protection locked="0"/>
    </xf>
    <xf numFmtId="0" fontId="30" fillId="36" borderId="51" xfId="0" applyFont="1" applyFill="1" applyBorder="1" applyAlignment="1" applyProtection="1">
      <alignment horizontal="center" vertical="center" wrapText="1"/>
      <protection locked="0"/>
    </xf>
    <xf numFmtId="0" fontId="30" fillId="36" borderId="53" xfId="0" applyFont="1" applyFill="1" applyBorder="1" applyAlignment="1" applyProtection="1">
      <alignment horizontal="center" vertical="center" wrapText="1"/>
      <protection locked="0"/>
    </xf>
    <xf numFmtId="0" fontId="30" fillId="37" borderId="56" xfId="0" applyFont="1" applyFill="1" applyBorder="1" applyAlignment="1" applyProtection="1">
      <alignment horizontal="center" vertical="center" wrapText="1"/>
      <protection locked="0"/>
    </xf>
    <xf numFmtId="0" fontId="30" fillId="37" borderId="50" xfId="0" applyFont="1" applyFill="1" applyBorder="1" applyAlignment="1" applyProtection="1">
      <alignment horizontal="center" vertical="center" wrapText="1"/>
      <protection locked="0"/>
    </xf>
    <xf numFmtId="0" fontId="30" fillId="37" borderId="49" xfId="0" applyFont="1" applyFill="1" applyBorder="1" applyAlignment="1" applyProtection="1">
      <alignment horizontal="center" vertical="center" wrapText="1"/>
      <protection locked="0"/>
    </xf>
    <xf numFmtId="0" fontId="30" fillId="38" borderId="78" xfId="0" applyFont="1" applyFill="1" applyBorder="1" applyAlignment="1" applyProtection="1">
      <alignment horizontal="center" vertical="center" wrapText="1"/>
      <protection locked="0"/>
    </xf>
    <xf numFmtId="0" fontId="30" fillId="0" borderId="87" xfId="0" applyFont="1" applyBorder="1" applyAlignment="1" applyProtection="1">
      <alignment horizontal="center" vertical="center"/>
      <protection locked="0"/>
    </xf>
    <xf numFmtId="0" fontId="39" fillId="0" borderId="45" xfId="0" applyFont="1" applyBorder="1" applyAlignment="1" applyProtection="1">
      <alignment vertical="center"/>
      <protection locked="0"/>
    </xf>
    <xf numFmtId="0" fontId="39" fillId="0" borderId="89" xfId="0" applyFont="1" applyBorder="1" applyAlignment="1" applyProtection="1">
      <alignment vertical="center"/>
      <protection locked="0"/>
    </xf>
    <xf numFmtId="0" fontId="39" fillId="0" borderId="67" xfId="0" applyFont="1" applyBorder="1" applyAlignment="1" applyProtection="1">
      <alignment horizontal="center" vertical="center"/>
      <protection locked="0"/>
    </xf>
    <xf numFmtId="0" fontId="39" fillId="0" borderId="66" xfId="0" applyFont="1" applyBorder="1" applyAlignment="1" applyProtection="1">
      <alignment horizontal="center" vertical="center"/>
      <protection locked="0"/>
    </xf>
    <xf numFmtId="0" fontId="30" fillId="0" borderId="90" xfId="0" applyFont="1" applyBorder="1" applyAlignment="1" applyProtection="1">
      <alignment horizontal="center" vertical="center"/>
      <protection locked="0"/>
    </xf>
    <xf numFmtId="0" fontId="39" fillId="0" borderId="77" xfId="0" applyFont="1" applyBorder="1" applyAlignment="1" applyProtection="1">
      <alignment vertical="center"/>
      <protection locked="0"/>
    </xf>
    <xf numFmtId="0" fontId="39" fillId="0" borderId="16" xfId="0" applyFont="1" applyBorder="1" applyAlignment="1">
      <alignment horizontal="center" vertical="center"/>
    </xf>
    <xf numFmtId="0" fontId="39" fillId="0" borderId="18" xfId="0" applyFont="1" applyBorder="1" applyAlignment="1">
      <alignment horizontal="center" vertical="center"/>
    </xf>
    <xf numFmtId="0" fontId="39" fillId="0" borderId="21" xfId="0" applyFont="1" applyBorder="1" applyAlignment="1">
      <alignment horizontal="center" vertical="center"/>
    </xf>
    <xf numFmtId="0" fontId="39" fillId="0" borderId="68" xfId="0" applyFont="1" applyBorder="1" applyAlignment="1" applyProtection="1">
      <alignment horizontal="center" vertical="center"/>
      <protection locked="0"/>
    </xf>
    <xf numFmtId="0" fontId="67" fillId="0" borderId="70" xfId="34" applyFont="1" applyBorder="1" applyAlignment="1">
      <alignment horizontal="center" vertical="center"/>
      <protection locked="0"/>
    </xf>
    <xf numFmtId="0" fontId="66" fillId="41" borderId="72" xfId="34" applyFont="1" applyFill="1" applyBorder="1" applyAlignment="1">
      <alignment horizontal="center" vertical="center"/>
      <protection locked="0"/>
    </xf>
    <xf numFmtId="0" fontId="30" fillId="41" borderId="54" xfId="0" applyFont="1" applyFill="1" applyBorder="1" applyAlignment="1" applyProtection="1">
      <alignment horizontal="center" vertical="center" wrapText="1"/>
      <protection locked="0"/>
    </xf>
    <xf numFmtId="0" fontId="60" fillId="2" borderId="91" xfId="0" applyFont="1" applyFill="1" applyBorder="1" applyAlignment="1">
      <alignment horizontal="center" vertical="center" wrapText="1"/>
    </xf>
    <xf numFmtId="0" fontId="60" fillId="0" borderId="91" xfId="0" applyFont="1" applyBorder="1" applyAlignment="1">
      <alignment horizontal="center" vertical="center" wrapText="1"/>
    </xf>
    <xf numFmtId="0" fontId="60" fillId="0" borderId="91" xfId="0" applyFont="1" applyBorder="1" applyAlignment="1" applyProtection="1">
      <alignment horizontal="center" vertical="center" wrapText="1"/>
      <protection locked="0"/>
    </xf>
    <xf numFmtId="0" fontId="60" fillId="0" borderId="91" xfId="0" applyFont="1" applyBorder="1" applyAlignment="1" applyProtection="1">
      <alignment horizontal="center" vertical="center"/>
      <protection locked="0"/>
    </xf>
    <xf numFmtId="0" fontId="60" fillId="0" borderId="91" xfId="0" applyFont="1" applyBorder="1" applyAlignment="1" applyProtection="1">
      <alignment vertical="center"/>
      <protection locked="0"/>
    </xf>
    <xf numFmtId="0" fontId="39" fillId="0" borderId="12" xfId="0" applyFont="1" applyBorder="1" applyAlignment="1">
      <alignment horizontal="center" vertical="center" wrapText="1"/>
    </xf>
    <xf numFmtId="0" fontId="32" fillId="0" borderId="12" xfId="0" applyFont="1" applyBorder="1" applyAlignment="1">
      <alignment horizontal="center" vertical="center"/>
    </xf>
    <xf numFmtId="0" fontId="32" fillId="0" borderId="12" xfId="0" applyFont="1" applyBorder="1" applyAlignment="1" applyProtection="1">
      <alignment vertical="center"/>
      <protection locked="0"/>
    </xf>
    <xf numFmtId="0" fontId="39" fillId="0" borderId="72" xfId="0" applyFont="1" applyBorder="1" applyAlignment="1">
      <alignment horizontal="center" vertical="center" wrapText="1"/>
    </xf>
    <xf numFmtId="0" fontId="32" fillId="0" borderId="72" xfId="0" applyFont="1" applyBorder="1" applyAlignment="1">
      <alignment horizontal="center" vertical="center"/>
    </xf>
    <xf numFmtId="0" fontId="32" fillId="0" borderId="72" xfId="0" applyFont="1" applyBorder="1" applyAlignment="1" applyProtection="1">
      <alignment vertical="center"/>
      <protection locked="0"/>
    </xf>
    <xf numFmtId="0" fontId="32" fillId="0" borderId="72" xfId="0" applyFont="1" applyBorder="1" applyAlignment="1" applyProtection="1">
      <alignment horizontal="center" vertical="center"/>
      <protection locked="0"/>
    </xf>
    <xf numFmtId="164" fontId="30" fillId="8" borderId="52" xfId="0" applyNumberFormat="1" applyFont="1" applyFill="1" applyBorder="1" applyAlignment="1" applyProtection="1">
      <alignment horizontal="center" vertical="center"/>
      <protection locked="0"/>
    </xf>
    <xf numFmtId="164" fontId="35" fillId="8" borderId="28" xfId="0" applyNumberFormat="1" applyFont="1" applyFill="1" applyBorder="1" applyAlignment="1">
      <alignment horizontal="center" vertical="center"/>
    </xf>
    <xf numFmtId="164" fontId="35" fillId="8" borderId="29" xfId="0" applyNumberFormat="1" applyFont="1" applyFill="1" applyBorder="1" applyAlignment="1">
      <alignment horizontal="center" vertical="center"/>
    </xf>
    <xf numFmtId="164" fontId="35" fillId="8" borderId="30" xfId="0" applyNumberFormat="1" applyFont="1" applyFill="1" applyBorder="1" applyAlignment="1">
      <alignment horizontal="center" vertical="center"/>
    </xf>
    <xf numFmtId="0" fontId="71" fillId="0" borderId="97" xfId="0" applyFont="1" applyBorder="1" applyAlignment="1" applyProtection="1">
      <alignment vertical="center"/>
      <protection locked="0"/>
    </xf>
    <xf numFmtId="0" fontId="64" fillId="0" borderId="76" xfId="0" applyFont="1" applyBorder="1" applyAlignment="1" applyProtection="1">
      <alignment vertical="center" wrapText="1"/>
      <protection locked="0"/>
    </xf>
    <xf numFmtId="0" fontId="32" fillId="0" borderId="76" xfId="0" applyFont="1" applyBorder="1" applyAlignment="1" applyProtection="1">
      <alignment vertical="center"/>
      <protection locked="0"/>
    </xf>
    <xf numFmtId="0" fontId="32" fillId="0" borderId="12" xfId="0" applyFont="1" applyBorder="1" applyAlignment="1" applyProtection="1">
      <alignment horizontal="center" vertical="center"/>
      <protection locked="0"/>
    </xf>
    <xf numFmtId="0" fontId="60" fillId="0" borderId="12" xfId="0" applyFont="1" applyBorder="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32" fillId="0" borderId="27" xfId="0" applyFont="1" applyBorder="1" applyAlignment="1" applyProtection="1">
      <alignment vertical="center"/>
      <protection locked="0"/>
    </xf>
    <xf numFmtId="0" fontId="0" fillId="31" borderId="12" xfId="0" applyFill="1" applyBorder="1" applyAlignment="1" applyProtection="1">
      <alignment horizontal="center"/>
      <protection locked="0"/>
    </xf>
    <xf numFmtId="0" fontId="0" fillId="42" borderId="12" xfId="0" applyFill="1" applyBorder="1" applyAlignment="1" applyProtection="1">
      <alignment horizontal="center"/>
      <protection locked="0"/>
    </xf>
    <xf numFmtId="0" fontId="0" fillId="27" borderId="12" xfId="0" applyFill="1" applyBorder="1" applyAlignment="1" applyProtection="1">
      <alignment horizontal="center"/>
      <protection locked="0"/>
    </xf>
    <xf numFmtId="0" fontId="0" fillId="29" borderId="12" xfId="0" applyFill="1" applyBorder="1" applyAlignment="1" applyProtection="1">
      <alignment horizontal="center"/>
      <protection locked="0"/>
    </xf>
    <xf numFmtId="0" fontId="0" fillId="26" borderId="12" xfId="0" applyFill="1" applyBorder="1" applyAlignment="1" applyProtection="1">
      <alignment horizontal="center"/>
      <protection locked="0"/>
    </xf>
    <xf numFmtId="0" fontId="0" fillId="43" borderId="12" xfId="0" applyFill="1" applyBorder="1" applyAlignment="1" applyProtection="1">
      <alignment horizontal="center"/>
      <protection locked="0"/>
    </xf>
    <xf numFmtId="0" fontId="0" fillId="44" borderId="12" xfId="0" applyFill="1" applyBorder="1" applyAlignment="1" applyProtection="1">
      <alignment horizontal="center"/>
      <protection locked="0"/>
    </xf>
    <xf numFmtId="0" fontId="39" fillId="0" borderId="28" xfId="0" applyFont="1" applyBorder="1" applyAlignment="1" applyProtection="1">
      <alignment horizontal="center" vertical="center" shrinkToFit="1"/>
      <protection locked="0"/>
    </xf>
    <xf numFmtId="0" fontId="39" fillId="0" borderId="29" xfId="0" applyFont="1" applyBorder="1" applyAlignment="1" applyProtection="1">
      <alignment horizontal="center" vertical="center" shrinkToFit="1"/>
      <protection locked="0"/>
    </xf>
    <xf numFmtId="0" fontId="39" fillId="0" borderId="30" xfId="0" applyFont="1" applyBorder="1" applyAlignment="1" applyProtection="1">
      <alignment horizontal="center" vertical="center" shrinkToFit="1"/>
      <protection locked="0"/>
    </xf>
    <xf numFmtId="0" fontId="39" fillId="0" borderId="31" xfId="0" applyFont="1" applyBorder="1" applyAlignment="1" applyProtection="1">
      <alignment horizontal="center" vertical="center" shrinkToFit="1"/>
      <protection locked="0"/>
    </xf>
    <xf numFmtId="0" fontId="0" fillId="27" borderId="0" xfId="0" applyFill="1"/>
    <xf numFmtId="0" fontId="0" fillId="26" borderId="0" xfId="0" applyFill="1" applyAlignment="1">
      <alignment horizontal="center"/>
    </xf>
    <xf numFmtId="0" fontId="72" fillId="0" borderId="0" xfId="0" applyFont="1" applyAlignment="1" applyProtection="1">
      <alignment horizontal="center" vertical="center"/>
      <protection locked="0"/>
    </xf>
    <xf numFmtId="0" fontId="72" fillId="0" borderId="0" xfId="0" applyFont="1" applyAlignment="1" applyProtection="1">
      <alignment vertical="center"/>
      <protection locked="0"/>
    </xf>
    <xf numFmtId="0" fontId="60" fillId="0" borderId="0" xfId="0" applyFont="1" applyAlignment="1" applyProtection="1">
      <alignment horizontal="center" vertical="center"/>
      <protection locked="0"/>
    </xf>
    <xf numFmtId="0" fontId="0" fillId="0" borderId="12" xfId="0" applyBorder="1" applyAlignment="1">
      <alignment horizontal="center"/>
    </xf>
    <xf numFmtId="0" fontId="0" fillId="0" borderId="0" xfId="0" applyAlignment="1">
      <alignment horizontal="center"/>
    </xf>
    <xf numFmtId="0" fontId="0" fillId="27" borderId="12" xfId="0" applyFill="1" applyBorder="1" applyAlignment="1">
      <alignment horizontal="center"/>
    </xf>
    <xf numFmtId="0" fontId="20" fillId="27" borderId="12" xfId="0" applyFont="1" applyFill="1" applyBorder="1" applyAlignment="1">
      <alignment horizontal="center"/>
    </xf>
    <xf numFmtId="0" fontId="0" fillId="42" borderId="12" xfId="0" applyFill="1" applyBorder="1" applyAlignment="1">
      <alignment horizontal="center"/>
    </xf>
    <xf numFmtId="0" fontId="73" fillId="42" borderId="12" xfId="0" applyFont="1" applyFill="1" applyBorder="1" applyAlignment="1">
      <alignment horizontal="center"/>
    </xf>
    <xf numFmtId="0" fontId="0" fillId="45" borderId="12" xfId="0" applyFill="1" applyBorder="1" applyAlignment="1">
      <alignment horizontal="center"/>
    </xf>
    <xf numFmtId="0" fontId="73" fillId="45" borderId="12" xfId="0" applyFont="1" applyFill="1" applyBorder="1" applyAlignment="1">
      <alignment horizontal="center"/>
    </xf>
    <xf numFmtId="0" fontId="0" fillId="46" borderId="12" xfId="0" applyFill="1" applyBorder="1" applyAlignment="1">
      <alignment horizontal="center"/>
    </xf>
    <xf numFmtId="0" fontId="20" fillId="46" borderId="12" xfId="0" applyFont="1" applyFill="1" applyBorder="1" applyAlignment="1">
      <alignment horizontal="center" vertical="center"/>
    </xf>
    <xf numFmtId="0" fontId="0" fillId="47" borderId="12" xfId="0" applyFill="1" applyBorder="1" applyAlignment="1">
      <alignment horizontal="center"/>
    </xf>
    <xf numFmtId="0" fontId="20" fillId="47" borderId="12" xfId="0" applyFont="1" applyFill="1" applyBorder="1" applyAlignment="1">
      <alignment horizontal="center"/>
    </xf>
    <xf numFmtId="0" fontId="0" fillId="30" borderId="0" xfId="0" applyFill="1" applyAlignment="1">
      <alignment horizontal="center"/>
    </xf>
    <xf numFmtId="0" fontId="0" fillId="0" borderId="12" xfId="0" applyBorder="1"/>
    <xf numFmtId="0" fontId="0" fillId="48" borderId="0" xfId="0" applyFill="1" applyAlignment="1">
      <alignment horizontal="center"/>
    </xf>
    <xf numFmtId="0" fontId="0" fillId="49" borderId="0" xfId="0" applyFill="1" applyAlignment="1">
      <alignment horizontal="center"/>
    </xf>
    <xf numFmtId="0" fontId="0" fillId="34" borderId="0" xfId="0" applyFill="1" applyAlignment="1">
      <alignment horizontal="center"/>
    </xf>
    <xf numFmtId="0" fontId="20" fillId="0" borderId="0" xfId="0" applyFont="1" applyAlignment="1">
      <alignment horizontal="center"/>
    </xf>
    <xf numFmtId="0" fontId="0" fillId="34" borderId="0" xfId="0" applyFill="1"/>
    <xf numFmtId="0" fontId="73" fillId="0" borderId="12" xfId="0" applyFont="1" applyBorder="1" applyAlignment="1">
      <alignment horizontal="center"/>
    </xf>
    <xf numFmtId="0" fontId="0" fillId="26" borderId="12" xfId="0" applyFill="1" applyBorder="1"/>
    <xf numFmtId="0" fontId="20" fillId="0" borderId="12" xfId="0" applyFont="1" applyBorder="1"/>
    <xf numFmtId="0" fontId="39" fillId="0" borderId="89" xfId="0" applyFont="1" applyBorder="1" applyAlignment="1" applyProtection="1">
      <alignment horizontal="center" vertical="center" wrapText="1"/>
      <protection locked="0"/>
    </xf>
    <xf numFmtId="0" fontId="0" fillId="29" borderId="0" xfId="0" applyFill="1"/>
    <xf numFmtId="0" fontId="60" fillId="34" borderId="86" xfId="0" applyFont="1" applyFill="1" applyBorder="1" applyAlignment="1" applyProtection="1">
      <alignment horizontal="center" vertical="center" wrapText="1"/>
      <protection locked="0"/>
    </xf>
    <xf numFmtId="0" fontId="60" fillId="34" borderId="88" xfId="0" applyFont="1" applyFill="1" applyBorder="1" applyAlignment="1" applyProtection="1">
      <alignment horizontal="center" vertical="center" wrapText="1"/>
      <protection locked="0"/>
    </xf>
    <xf numFmtId="0" fontId="60" fillId="34" borderId="84" xfId="0" applyFont="1" applyFill="1" applyBorder="1" applyAlignment="1" applyProtection="1">
      <alignment horizontal="center" vertical="center" wrapText="1"/>
      <protection locked="0"/>
    </xf>
    <xf numFmtId="0" fontId="60" fillId="40" borderId="88" xfId="0" applyFont="1" applyFill="1" applyBorder="1" applyAlignment="1" applyProtection="1">
      <alignment horizontal="center" vertical="center"/>
      <protection locked="0"/>
    </xf>
    <xf numFmtId="0" fontId="60" fillId="0" borderId="0" xfId="0" applyFont="1" applyAlignment="1" applyProtection="1">
      <alignment horizontal="center" vertical="center" wrapText="1"/>
      <protection locked="0"/>
    </xf>
    <xf numFmtId="0" fontId="74" fillId="0" borderId="0" xfId="0" applyFont="1" applyAlignment="1" applyProtection="1">
      <alignment horizontal="center" vertical="center"/>
      <protection locked="0"/>
    </xf>
    <xf numFmtId="0" fontId="32" fillId="0" borderId="12" xfId="0" applyFont="1" applyBorder="1" applyAlignment="1" applyProtection="1">
      <alignment horizontal="center" vertical="center" wrapText="1"/>
      <protection locked="0"/>
    </xf>
    <xf numFmtId="0" fontId="60" fillId="0" borderId="12" xfId="0" applyFont="1" applyBorder="1" applyAlignment="1" applyProtection="1">
      <alignment vertical="center"/>
      <protection locked="0"/>
    </xf>
    <xf numFmtId="0" fontId="60" fillId="43" borderId="12" xfId="0" applyFont="1" applyFill="1" applyBorder="1" applyAlignment="1" applyProtection="1">
      <alignment horizontal="center" vertical="center" wrapText="1"/>
      <protection locked="0"/>
    </xf>
    <xf numFmtId="0" fontId="75" fillId="43" borderId="12" xfId="0" applyFont="1" applyFill="1" applyBorder="1" applyAlignment="1" applyProtection="1">
      <alignment horizontal="center" vertical="center" wrapText="1"/>
      <protection locked="0"/>
    </xf>
    <xf numFmtId="0" fontId="76" fillId="43" borderId="12" xfId="0" applyFont="1" applyFill="1" applyBorder="1" applyAlignment="1" applyProtection="1">
      <alignment horizontal="center" vertical="center" wrapText="1"/>
      <protection locked="0"/>
    </xf>
    <xf numFmtId="0" fontId="48" fillId="0" borderId="0" xfId="0" applyFont="1" applyAlignment="1" applyProtection="1">
      <alignment vertical="top"/>
      <protection locked="0"/>
    </xf>
    <xf numFmtId="0" fontId="60" fillId="40" borderId="12" xfId="0" applyFont="1" applyFill="1" applyBorder="1" applyAlignment="1" applyProtection="1">
      <alignment horizontal="center" vertical="center" wrapText="1"/>
      <protection locked="0"/>
    </xf>
    <xf numFmtId="0" fontId="78" fillId="40" borderId="12" xfId="0" applyFont="1" applyFill="1" applyBorder="1" applyAlignment="1" applyProtection="1">
      <alignment horizontal="center" vertical="center" wrapText="1"/>
      <protection locked="0"/>
    </xf>
    <xf numFmtId="0" fontId="79" fillId="40" borderId="12" xfId="0" applyFont="1" applyFill="1" applyBorder="1" applyAlignment="1" applyProtection="1">
      <alignment horizontal="center" vertical="center" wrapText="1"/>
      <protection locked="0"/>
    </xf>
    <xf numFmtId="0" fontId="75" fillId="40" borderId="12" xfId="0" applyFont="1" applyFill="1" applyBorder="1" applyAlignment="1" applyProtection="1">
      <alignment horizontal="center" vertical="center" wrapText="1"/>
      <protection locked="0"/>
    </xf>
    <xf numFmtId="0" fontId="80" fillId="40" borderId="12" xfId="0"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wrapText="1"/>
      <protection locked="0"/>
    </xf>
    <xf numFmtId="0" fontId="39" fillId="0" borderId="0" xfId="0" applyFont="1" applyAlignment="1" applyProtection="1">
      <alignment horizontal="center" vertical="center" shrinkToFit="1"/>
      <protection locked="0"/>
    </xf>
    <xf numFmtId="0" fontId="56" fillId="0" borderId="0" xfId="0" applyFont="1" applyAlignment="1" applyProtection="1">
      <alignment horizontal="center" vertical="center" wrapText="1" shrinkToFit="1"/>
      <protection locked="0"/>
    </xf>
    <xf numFmtId="0" fontId="30" fillId="0" borderId="0" xfId="0" applyFont="1" applyAlignment="1" applyProtection="1">
      <alignment horizontal="center" vertical="center" wrapText="1"/>
      <protection locked="0"/>
    </xf>
    <xf numFmtId="0" fontId="0" fillId="0" borderId="12" xfId="0" applyBorder="1" applyAlignment="1">
      <alignment wrapText="1"/>
    </xf>
    <xf numFmtId="0" fontId="0" fillId="0" borderId="109" xfId="0" applyBorder="1" applyAlignment="1">
      <alignment wrapText="1"/>
    </xf>
    <xf numFmtId="0" fontId="0" fillId="34" borderId="12" xfId="0" applyFill="1" applyBorder="1" applyAlignment="1">
      <alignment horizontal="center"/>
    </xf>
    <xf numFmtId="0" fontId="39" fillId="25" borderId="25" xfId="0" applyFont="1" applyFill="1" applyBorder="1" applyAlignment="1" applyProtection="1">
      <alignment horizontal="center" vertical="center" wrapText="1"/>
      <protection locked="0"/>
    </xf>
    <xf numFmtId="0" fontId="39" fillId="25" borderId="18" xfId="0" applyFont="1" applyFill="1" applyBorder="1" applyAlignment="1" applyProtection="1">
      <alignment horizontal="center" vertical="center" wrapText="1"/>
      <protection locked="0"/>
    </xf>
    <xf numFmtId="0" fontId="39" fillId="25" borderId="21" xfId="0" applyFont="1" applyFill="1" applyBorder="1" applyAlignment="1" applyProtection="1">
      <alignment horizontal="center" vertical="center" wrapText="1"/>
      <protection locked="0"/>
    </xf>
    <xf numFmtId="0" fontId="0" fillId="51" borderId="0" xfId="0" applyFill="1"/>
    <xf numFmtId="0" fontId="30" fillId="52" borderId="49" xfId="0" applyFont="1" applyFill="1" applyBorder="1" applyAlignment="1" applyProtection="1">
      <alignment horizontal="center" vertical="center" wrapText="1"/>
      <protection locked="0"/>
    </xf>
    <xf numFmtId="0" fontId="0" fillId="0" borderId="12" xfId="0" applyBorder="1" applyAlignment="1" applyProtection="1">
      <alignment horizontal="center"/>
      <protection locked="0"/>
    </xf>
    <xf numFmtId="0" fontId="30" fillId="0" borderId="26" xfId="0" applyFont="1" applyBorder="1" applyAlignment="1" applyProtection="1">
      <alignment vertical="center"/>
      <protection locked="0"/>
    </xf>
    <xf numFmtId="0" fontId="28" fillId="0" borderId="0" xfId="0" applyFont="1" applyAlignment="1" applyProtection="1">
      <alignment vertical="center"/>
      <protection locked="0"/>
    </xf>
    <xf numFmtId="0" fontId="0" fillId="31" borderId="0" xfId="0" applyFill="1"/>
    <xf numFmtId="0" fontId="0" fillId="30" borderId="0" xfId="0" applyFill="1"/>
    <xf numFmtId="0" fontId="21" fillId="0" borderId="46" xfId="0" applyFont="1" applyBorder="1"/>
    <xf numFmtId="0" fontId="39" fillId="25" borderId="16" xfId="0" applyFont="1" applyFill="1" applyBorder="1" applyAlignment="1" applyProtection="1">
      <alignment horizontal="center" vertical="center" wrapText="1"/>
      <protection locked="0"/>
    </xf>
    <xf numFmtId="0" fontId="21" fillId="34" borderId="12" xfId="0" applyFont="1" applyFill="1" applyBorder="1"/>
    <xf numFmtId="0" fontId="0" fillId="0" borderId="58" xfId="0" applyBorder="1" applyProtection="1">
      <protection locked="0"/>
    </xf>
    <xf numFmtId="0" fontId="38" fillId="0" borderId="35" xfId="0" applyFont="1" applyBorder="1" applyAlignment="1" applyProtection="1">
      <alignment vertical="center"/>
      <protection locked="0"/>
    </xf>
    <xf numFmtId="0" fontId="0" fillId="0" borderId="36" xfId="0" applyBorder="1" applyProtection="1">
      <protection locked="0"/>
    </xf>
    <xf numFmtId="0" fontId="21" fillId="0" borderId="12" xfId="0" applyFont="1" applyBorder="1"/>
    <xf numFmtId="0" fontId="0" fillId="30" borderId="12" xfId="0" applyFill="1" applyBorder="1" applyAlignment="1" applyProtection="1">
      <alignment horizontal="center"/>
      <protection locked="0"/>
    </xf>
    <xf numFmtId="0" fontId="62" fillId="0" borderId="12" xfId="0" applyFont="1" applyBorder="1" applyAlignment="1" applyProtection="1">
      <alignment vertical="center"/>
      <protection locked="0"/>
    </xf>
    <xf numFmtId="0" fontId="33" fillId="0" borderId="12" xfId="0" applyFont="1" applyBorder="1" applyAlignment="1" applyProtection="1">
      <alignment vertical="center"/>
      <protection locked="0"/>
    </xf>
    <xf numFmtId="0" fontId="37" fillId="0" borderId="46" xfId="0" applyFont="1" applyBorder="1" applyAlignment="1" applyProtection="1">
      <alignment horizontal="right" vertical="center"/>
      <protection locked="0"/>
    </xf>
    <xf numFmtId="0" fontId="62" fillId="0" borderId="35" xfId="0" applyFont="1" applyBorder="1" applyAlignment="1" applyProtection="1">
      <alignment horizontal="center" vertical="center"/>
      <protection locked="0"/>
    </xf>
    <xf numFmtId="0" fontId="65" fillId="0" borderId="69" xfId="0" applyFont="1" applyBorder="1" applyAlignment="1" applyProtection="1">
      <alignment horizontal="center" vertical="center"/>
      <protection locked="0"/>
    </xf>
    <xf numFmtId="2" fontId="0" fillId="0" borderId="12" xfId="0" applyNumberFormat="1" applyBorder="1" applyAlignment="1" applyProtection="1">
      <alignment horizontal="center"/>
      <protection locked="0"/>
    </xf>
    <xf numFmtId="2" fontId="39" fillId="52" borderId="16" xfId="0" applyNumberFormat="1" applyFont="1" applyFill="1" applyBorder="1" applyAlignment="1">
      <alignment horizontal="center" vertical="center" wrapText="1"/>
    </xf>
    <xf numFmtId="2" fontId="39" fillId="52" borderId="18" xfId="0" applyNumberFormat="1" applyFont="1" applyFill="1" applyBorder="1" applyAlignment="1">
      <alignment horizontal="center" vertical="center" wrapText="1"/>
    </xf>
    <xf numFmtId="2" fontId="39" fillId="52" borderId="21" xfId="0" applyNumberFormat="1" applyFont="1" applyFill="1" applyBorder="1" applyAlignment="1">
      <alignment horizontal="center" vertical="center" wrapText="1"/>
    </xf>
    <xf numFmtId="0" fontId="20" fillId="0" borderId="109" xfId="0" applyFont="1" applyBorder="1"/>
    <xf numFmtId="0" fontId="33" fillId="0" borderId="109" xfId="0" applyFont="1" applyBorder="1" applyAlignment="1" applyProtection="1">
      <alignment vertical="center"/>
      <protection locked="0"/>
    </xf>
    <xf numFmtId="0" fontId="0" fillId="0" borderId="109" xfId="0" applyBorder="1" applyProtection="1">
      <protection locked="0"/>
    </xf>
    <xf numFmtId="0" fontId="31" fillId="0" borderId="0" xfId="0" applyFont="1" applyAlignment="1" applyProtection="1">
      <alignment vertical="center"/>
      <protection locked="0"/>
    </xf>
    <xf numFmtId="0" fontId="61" fillId="0" borderId="0" xfId="0" applyFont="1" applyAlignment="1" applyProtection="1">
      <alignment vertical="center"/>
      <protection locked="0"/>
    </xf>
    <xf numFmtId="0" fontId="32" fillId="0" borderId="11" xfId="0" applyFont="1" applyBorder="1" applyAlignment="1" applyProtection="1">
      <alignment horizontal="left" vertical="center"/>
      <protection locked="0"/>
    </xf>
    <xf numFmtId="0" fontId="60" fillId="0" borderId="0" xfId="0" applyFont="1" applyAlignment="1" applyProtection="1">
      <alignment vertical="center" wrapText="1"/>
      <protection locked="0"/>
    </xf>
    <xf numFmtId="0" fontId="29" fillId="0" borderId="11" xfId="0" applyFont="1" applyBorder="1" applyAlignment="1" applyProtection="1">
      <alignment horizontal="left" vertical="center" indent="1" shrinkToFit="1"/>
      <protection locked="0"/>
    </xf>
    <xf numFmtId="0" fontId="29" fillId="0" borderId="11" xfId="0" applyFont="1" applyBorder="1" applyAlignment="1" applyProtection="1">
      <alignment horizontal="center" vertical="center" shrinkToFit="1"/>
      <protection locked="0"/>
    </xf>
    <xf numFmtId="0" fontId="29" fillId="0" borderId="12" xfId="0" applyFont="1" applyBorder="1" applyAlignment="1" applyProtection="1">
      <alignment horizontal="center" vertical="center"/>
      <protection locked="0"/>
    </xf>
    <xf numFmtId="0" fontId="62" fillId="0" borderId="12" xfId="0" applyFont="1" applyBorder="1" applyAlignment="1">
      <alignment horizontal="center" vertical="center"/>
    </xf>
    <xf numFmtId="0" fontId="83" fillId="0" borderId="12" xfId="0" applyFont="1" applyBorder="1" applyAlignment="1" applyProtection="1">
      <alignment vertical="center"/>
      <protection locked="0"/>
    </xf>
    <xf numFmtId="0" fontId="21" fillId="34" borderId="109" xfId="0" applyFont="1" applyFill="1" applyBorder="1"/>
    <xf numFmtId="0" fontId="33" fillId="0" borderId="11" xfId="0" applyFont="1" applyBorder="1" applyAlignment="1" applyProtection="1">
      <alignment vertical="center"/>
      <protection locked="0"/>
    </xf>
    <xf numFmtId="0" fontId="0" fillId="0" borderId="110" xfId="0" applyBorder="1"/>
    <xf numFmtId="0" fontId="84" fillId="0" borderId="0" xfId="0" applyFont="1" applyAlignment="1" applyProtection="1">
      <alignment horizontal="center"/>
      <protection locked="0"/>
    </xf>
    <xf numFmtId="0" fontId="85" fillId="2" borderId="49" xfId="0" applyFont="1" applyFill="1" applyBorder="1" applyAlignment="1" applyProtection="1">
      <alignment horizontal="center" vertical="center" wrapText="1"/>
      <protection locked="0"/>
    </xf>
    <xf numFmtId="0" fontId="59" fillId="0" borderId="12" xfId="0" applyFont="1" applyBorder="1" applyAlignment="1" applyProtection="1">
      <alignment horizontal="center"/>
      <protection locked="0"/>
    </xf>
    <xf numFmtId="0" fontId="29" fillId="0" borderId="12" xfId="0" applyFont="1" applyBorder="1" applyAlignment="1" applyProtection="1">
      <alignment horizontal="center" vertical="center" wrapText="1"/>
      <protection locked="0"/>
    </xf>
    <xf numFmtId="0" fontId="39" fillId="33" borderId="16" xfId="0" applyFont="1" applyFill="1" applyBorder="1" applyAlignment="1" applyProtection="1">
      <alignment horizontal="center" vertical="center" wrapText="1" shrinkToFit="1"/>
      <protection locked="0"/>
    </xf>
    <xf numFmtId="0" fontId="62" fillId="0" borderId="12" xfId="0" applyFont="1" applyBorder="1" applyAlignment="1" applyProtection="1">
      <alignment horizontal="center" vertical="center"/>
      <protection locked="0"/>
    </xf>
    <xf numFmtId="0" fontId="20" fillId="29" borderId="0" xfId="0" applyFont="1" applyFill="1"/>
    <xf numFmtId="0" fontId="62" fillId="0" borderId="12" xfId="0" applyFont="1" applyBorder="1" applyAlignment="1" applyProtection="1">
      <alignment horizontal="center" vertical="center" wrapText="1"/>
      <protection locked="0"/>
    </xf>
    <xf numFmtId="0" fontId="32" fillId="26" borderId="12" xfId="0" applyFont="1" applyFill="1" applyBorder="1" applyAlignment="1" applyProtection="1">
      <alignment horizontal="center" vertical="center"/>
      <protection locked="0"/>
    </xf>
    <xf numFmtId="0" fontId="60" fillId="29" borderId="91" xfId="0" applyFont="1" applyFill="1" applyBorder="1" applyAlignment="1" applyProtection="1">
      <alignment horizontal="center" vertical="center"/>
      <protection locked="0"/>
    </xf>
    <xf numFmtId="0" fontId="32" fillId="29" borderId="0" xfId="0" applyFont="1" applyFill="1" applyAlignment="1" applyProtection="1">
      <alignment horizontal="center" vertical="center"/>
      <protection locked="0"/>
    </xf>
    <xf numFmtId="0" fontId="62" fillId="29" borderId="12" xfId="0" applyFont="1" applyFill="1" applyBorder="1" applyAlignment="1">
      <alignment horizontal="center" vertical="center"/>
    </xf>
    <xf numFmtId="0" fontId="39" fillId="0" borderId="19" xfId="0" applyFont="1" applyBorder="1" applyAlignment="1" applyProtection="1">
      <alignment horizontal="center" vertical="center"/>
      <protection locked="0"/>
    </xf>
    <xf numFmtId="0" fontId="39" fillId="0" borderId="24" xfId="0" applyFont="1" applyBorder="1" applyAlignment="1" applyProtection="1">
      <alignment horizontal="center" vertical="center"/>
      <protection locked="0"/>
    </xf>
    <xf numFmtId="0" fontId="30" fillId="2" borderId="49" xfId="0" applyFont="1" applyFill="1" applyBorder="1" applyAlignment="1" applyProtection="1">
      <alignment horizontal="center" vertical="center"/>
      <protection locked="0"/>
    </xf>
    <xf numFmtId="0" fontId="62" fillId="0" borderId="26"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63" xfId="0" applyFont="1" applyBorder="1" applyAlignment="1" applyProtection="1">
      <alignment horizontal="center" vertical="center"/>
      <protection locked="0"/>
    </xf>
    <xf numFmtId="0" fontId="28" fillId="0" borderId="58" xfId="0" applyFont="1" applyBorder="1" applyAlignment="1" applyProtection="1">
      <alignment vertical="center"/>
      <protection locked="0"/>
    </xf>
    <xf numFmtId="0" fontId="33" fillId="0" borderId="46" xfId="0" applyFont="1" applyBorder="1" applyAlignment="1" applyProtection="1">
      <alignment vertical="center"/>
      <protection locked="0"/>
    </xf>
    <xf numFmtId="0" fontId="33" fillId="0" borderId="109" xfId="0" applyFont="1" applyBorder="1" applyAlignment="1" applyProtection="1">
      <alignment horizontal="center" vertical="center"/>
      <protection locked="0"/>
    </xf>
    <xf numFmtId="0" fontId="33" fillId="0" borderId="34" xfId="0" applyFont="1" applyBorder="1" applyAlignment="1" applyProtection="1">
      <alignment vertical="center"/>
      <protection locked="0"/>
    </xf>
    <xf numFmtId="0" fontId="65" fillId="0" borderId="12" xfId="0" applyFont="1" applyBorder="1" applyAlignment="1" applyProtection="1">
      <alignment horizontal="center" vertical="center" shrinkToFit="1"/>
      <protection locked="0"/>
    </xf>
    <xf numFmtId="0" fontId="0" fillId="54" borderId="12" xfId="0" applyFill="1" applyBorder="1" applyAlignment="1">
      <alignment horizontal="center" vertical="center"/>
    </xf>
    <xf numFmtId="0" fontId="0" fillId="55" borderId="12" xfId="0" applyFill="1" applyBorder="1" applyAlignment="1">
      <alignment horizontal="center" vertical="center"/>
    </xf>
    <xf numFmtId="0" fontId="0" fillId="56" borderId="12" xfId="0" applyFill="1" applyBorder="1" applyAlignment="1">
      <alignment horizontal="center" vertical="center"/>
    </xf>
    <xf numFmtId="0" fontId="0" fillId="57" borderId="12" xfId="0" applyFill="1" applyBorder="1" applyAlignment="1">
      <alignment horizontal="center" vertical="center"/>
    </xf>
    <xf numFmtId="0" fontId="0" fillId="58" borderId="12" xfId="0" applyFill="1" applyBorder="1" applyAlignment="1">
      <alignment horizontal="center" vertical="center"/>
    </xf>
    <xf numFmtId="0" fontId="0" fillId="59" borderId="12" xfId="0" applyFill="1" applyBorder="1" applyAlignment="1">
      <alignment horizontal="center" vertical="center"/>
    </xf>
    <xf numFmtId="0" fontId="0" fillId="60" borderId="12" xfId="0" applyFill="1" applyBorder="1" applyAlignment="1">
      <alignment horizontal="center" vertical="center"/>
    </xf>
    <xf numFmtId="0" fontId="0" fillId="48" borderId="12" xfId="0" applyFill="1" applyBorder="1" applyAlignment="1">
      <alignment horizontal="center" vertical="center"/>
    </xf>
    <xf numFmtId="0" fontId="63" fillId="57" borderId="12" xfId="0" applyFont="1" applyFill="1" applyBorder="1" applyAlignment="1">
      <alignment horizontal="center" vertical="center"/>
    </xf>
    <xf numFmtId="0" fontId="65" fillId="0" borderId="111" xfId="0" applyFont="1" applyBorder="1" applyAlignment="1" applyProtection="1">
      <alignment horizontal="center" vertical="center"/>
      <protection locked="0"/>
    </xf>
    <xf numFmtId="0" fontId="0" fillId="54" borderId="12" xfId="0" applyFill="1" applyBorder="1" applyAlignment="1">
      <alignment horizontal="center"/>
    </xf>
    <xf numFmtId="0" fontId="0" fillId="55" borderId="12" xfId="0" applyFill="1" applyBorder="1" applyAlignment="1">
      <alignment horizontal="center"/>
    </xf>
    <xf numFmtId="0" fontId="0" fillId="56" borderId="12" xfId="0" applyFill="1" applyBorder="1" applyAlignment="1">
      <alignment horizontal="center"/>
    </xf>
    <xf numFmtId="0" fontId="0" fillId="57" borderId="12" xfId="0" applyFill="1" applyBorder="1" applyAlignment="1">
      <alignment horizontal="center"/>
    </xf>
    <xf numFmtId="0" fontId="0" fillId="58" borderId="12" xfId="0" applyFill="1" applyBorder="1" applyAlignment="1">
      <alignment horizontal="center"/>
    </xf>
    <xf numFmtId="0" fontId="0" fillId="59" borderId="12" xfId="0" applyFill="1" applyBorder="1" applyAlignment="1">
      <alignment horizontal="center"/>
    </xf>
    <xf numFmtId="0" fontId="0" fillId="60" borderId="12" xfId="0" applyFill="1" applyBorder="1" applyAlignment="1">
      <alignment horizontal="center"/>
    </xf>
    <xf numFmtId="0" fontId="0" fillId="48" borderId="12" xfId="0" applyFill="1" applyBorder="1" applyAlignment="1">
      <alignment horizontal="center"/>
    </xf>
    <xf numFmtId="0" fontId="63" fillId="57" borderId="12" xfId="0" applyFont="1" applyFill="1" applyBorder="1" applyAlignment="1">
      <alignment horizontal="center"/>
    </xf>
    <xf numFmtId="0" fontId="0" fillId="0" borderId="12" xfId="0"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0" fillId="26" borderId="12" xfId="0" applyFill="1" applyBorder="1" applyAlignment="1" applyProtection="1">
      <alignment horizontal="center" vertical="center"/>
      <protection locked="0"/>
    </xf>
    <xf numFmtId="0" fontId="0" fillId="0" borderId="12" xfId="0" applyBorder="1" applyAlignment="1" applyProtection="1">
      <alignment horizontal="center" vertical="center" wrapText="1"/>
      <protection locked="0"/>
    </xf>
    <xf numFmtId="0" fontId="0" fillId="0" borderId="12" xfId="0" applyBorder="1" applyProtection="1">
      <protection locked="0"/>
    </xf>
    <xf numFmtId="0" fontId="0" fillId="26" borderId="0" xfId="0" applyFill="1" applyProtection="1">
      <protection locked="0"/>
    </xf>
    <xf numFmtId="0" fontId="0" fillId="0" borderId="26" xfId="0" applyBorder="1" applyProtection="1">
      <protection locked="0"/>
    </xf>
    <xf numFmtId="0" fontId="0" fillId="29" borderId="0" xfId="0" applyFill="1" applyProtection="1">
      <protection locked="0"/>
    </xf>
    <xf numFmtId="0" fontId="0" fillId="53" borderId="12" xfId="0" applyFill="1" applyBorder="1" applyAlignment="1" applyProtection="1">
      <alignment horizontal="center"/>
      <protection locked="0"/>
    </xf>
    <xf numFmtId="0" fontId="0" fillId="0" borderId="0" xfId="0" applyAlignment="1" applyProtection="1">
      <alignment wrapText="1"/>
      <protection locked="0"/>
    </xf>
    <xf numFmtId="0" fontId="63" fillId="0" borderId="0" xfId="0" applyFont="1" applyAlignment="1">
      <alignment horizontal="center"/>
    </xf>
    <xf numFmtId="0" fontId="63" fillId="48" borderId="12" xfId="0" applyFont="1" applyFill="1" applyBorder="1" applyAlignment="1">
      <alignment horizontal="center"/>
    </xf>
    <xf numFmtId="0" fontId="63" fillId="48" borderId="26" xfId="0" applyFont="1" applyFill="1" applyBorder="1"/>
    <xf numFmtId="0" fontId="63" fillId="58" borderId="12" xfId="0" applyFont="1" applyFill="1" applyBorder="1" applyAlignment="1">
      <alignment horizontal="center"/>
    </xf>
    <xf numFmtId="0" fontId="63" fillId="58" borderId="12" xfId="0" applyFont="1" applyFill="1" applyBorder="1" applyAlignment="1">
      <alignment wrapText="1"/>
    </xf>
    <xf numFmtId="0" fontId="63" fillId="48" borderId="12" xfId="0" applyFont="1" applyFill="1" applyBorder="1" applyAlignment="1">
      <alignment horizontal="center" vertical="center"/>
    </xf>
    <xf numFmtId="0" fontId="60" fillId="48" borderId="26" xfId="0" applyFont="1" applyFill="1" applyBorder="1" applyAlignment="1">
      <alignment horizontal="center" vertical="center"/>
    </xf>
    <xf numFmtId="0" fontId="63" fillId="58" borderId="12" xfId="0" applyFont="1" applyFill="1" applyBorder="1" applyAlignment="1">
      <alignment horizontal="center" vertical="center"/>
    </xf>
    <xf numFmtId="0" fontId="60" fillId="58" borderId="12" xfId="0" applyFont="1" applyFill="1" applyBorder="1" applyAlignment="1">
      <alignment horizontal="center" vertical="center"/>
    </xf>
    <xf numFmtId="0" fontId="63" fillId="0" borderId="0" xfId="0" applyFont="1" applyAlignment="1">
      <alignment vertical="center"/>
    </xf>
    <xf numFmtId="0" fontId="65" fillId="0" borderId="109" xfId="0" applyFont="1" applyBorder="1" applyAlignment="1" applyProtection="1">
      <alignment horizontal="center" vertical="center"/>
      <protection locked="0"/>
    </xf>
    <xf numFmtId="0" fontId="60" fillId="29" borderId="91" xfId="0" applyFont="1" applyFill="1" applyBorder="1" applyAlignment="1" applyProtection="1">
      <alignment horizontal="center" vertical="center" wrapText="1"/>
      <protection locked="0"/>
    </xf>
    <xf numFmtId="0" fontId="0" fillId="61" borderId="0" xfId="0" applyFill="1"/>
    <xf numFmtId="0" fontId="20" fillId="61" borderId="0" xfId="0" applyFont="1" applyFill="1"/>
    <xf numFmtId="0" fontId="60" fillId="61" borderId="91" xfId="0" applyFont="1" applyFill="1" applyBorder="1" applyAlignment="1" applyProtection="1">
      <alignment horizontal="center" vertical="center" wrapText="1"/>
      <protection locked="0"/>
    </xf>
    <xf numFmtId="0" fontId="32" fillId="61" borderId="12" xfId="0" applyFont="1" applyFill="1" applyBorder="1" applyAlignment="1" applyProtection="1">
      <alignment horizontal="center" vertical="center"/>
      <protection locked="0"/>
    </xf>
    <xf numFmtId="0" fontId="60" fillId="61" borderId="91" xfId="0" applyFont="1" applyFill="1" applyBorder="1" applyAlignment="1" applyProtection="1">
      <alignment horizontal="center" vertical="center"/>
      <protection locked="0"/>
    </xf>
    <xf numFmtId="0" fontId="62" fillId="61" borderId="12" xfId="0" applyFont="1" applyFill="1" applyBorder="1" applyAlignment="1">
      <alignment horizontal="center" vertical="center"/>
    </xf>
    <xf numFmtId="0" fontId="37" fillId="61" borderId="26" xfId="0" applyFont="1" applyFill="1" applyBorder="1" applyAlignment="1" applyProtection="1">
      <alignment horizontal="center" vertical="center" wrapText="1"/>
      <protection locked="0"/>
    </xf>
    <xf numFmtId="0" fontId="32" fillId="61" borderId="26" xfId="0" applyFont="1" applyFill="1" applyBorder="1" applyAlignment="1" applyProtection="1">
      <alignment horizontal="center" vertical="center"/>
      <protection locked="0"/>
    </xf>
    <xf numFmtId="0" fontId="37" fillId="61" borderId="12" xfId="0" applyFont="1" applyFill="1" applyBorder="1" applyAlignment="1" applyProtection="1">
      <alignment horizontal="center" vertical="center" wrapText="1"/>
      <protection locked="0"/>
    </xf>
    <xf numFmtId="0" fontId="37" fillId="0" borderId="12" xfId="0" applyFont="1" applyBorder="1" applyAlignment="1" applyProtection="1">
      <alignment horizontal="center" vertical="center" wrapText="1"/>
      <protection locked="0"/>
    </xf>
    <xf numFmtId="0" fontId="60" fillId="31" borderId="91" xfId="0" applyFont="1" applyFill="1" applyBorder="1" applyAlignment="1" applyProtection="1">
      <alignment horizontal="center" vertical="center"/>
      <protection locked="0"/>
    </xf>
    <xf numFmtId="0" fontId="60" fillId="31" borderId="91" xfId="0" applyFont="1" applyFill="1" applyBorder="1" applyAlignment="1">
      <alignment horizontal="center" vertical="center" wrapText="1"/>
    </xf>
    <xf numFmtId="0" fontId="60" fillId="61" borderId="91" xfId="0" applyFont="1" applyFill="1" applyBorder="1" applyAlignment="1">
      <alignment horizontal="center" vertical="center" wrapText="1"/>
    </xf>
    <xf numFmtId="0" fontId="39" fillId="61" borderId="12" xfId="0" applyFont="1" applyFill="1" applyBorder="1" applyAlignment="1">
      <alignment horizontal="center" vertical="center" wrapText="1"/>
    </xf>
    <xf numFmtId="0" fontId="31" fillId="0" borderId="12" xfId="0" applyFont="1" applyBorder="1" applyAlignment="1" applyProtection="1">
      <alignment horizontal="center" vertical="center"/>
      <protection locked="0"/>
    </xf>
    <xf numFmtId="0" fontId="19" fillId="61" borderId="0" xfId="34" applyFill="1" applyAlignment="1" applyProtection="1"/>
    <xf numFmtId="0" fontId="29" fillId="61" borderId="12" xfId="0" applyFont="1" applyFill="1" applyBorder="1" applyAlignment="1" applyProtection="1">
      <alignment horizontal="center" vertical="center" wrapText="1"/>
      <protection locked="0"/>
    </xf>
    <xf numFmtId="0" fontId="72" fillId="29" borderId="0" xfId="0" applyFont="1" applyFill="1" applyAlignment="1" applyProtection="1">
      <alignment horizontal="center" vertical="center"/>
      <protection locked="0"/>
    </xf>
    <xf numFmtId="0" fontId="60" fillId="29" borderId="12" xfId="0" applyFont="1" applyFill="1" applyBorder="1" applyAlignment="1" applyProtection="1">
      <alignment horizontal="center" vertical="center"/>
      <protection locked="0"/>
    </xf>
    <xf numFmtId="0" fontId="60" fillId="29" borderId="0" xfId="0" applyFont="1" applyFill="1" applyAlignment="1" applyProtection="1">
      <alignment horizontal="center" vertical="center"/>
      <protection locked="0"/>
    </xf>
    <xf numFmtId="0" fontId="32" fillId="61" borderId="0" xfId="0" applyFont="1" applyFill="1" applyAlignment="1" applyProtection="1">
      <alignment horizontal="center" vertical="center"/>
      <protection locked="0"/>
    </xf>
    <xf numFmtId="0" fontId="60" fillId="61" borderId="0" xfId="0" applyFont="1" applyFill="1" applyAlignment="1" applyProtection="1">
      <alignment horizontal="center"/>
      <protection locked="0"/>
    </xf>
    <xf numFmtId="0" fontId="86" fillId="0" borderId="0" xfId="0" applyFont="1"/>
    <xf numFmtId="0" fontId="87" fillId="0" borderId="7" xfId="0" applyFont="1" applyBorder="1" applyAlignment="1">
      <alignment horizontal="left" wrapText="1"/>
    </xf>
    <xf numFmtId="0" fontId="86" fillId="26" borderId="0" xfId="0" applyFont="1" applyFill="1"/>
    <xf numFmtId="0" fontId="86" fillId="0" borderId="0" xfId="0" applyFont="1" applyAlignment="1">
      <alignment wrapText="1"/>
    </xf>
    <xf numFmtId="0" fontId="88" fillId="0" borderId="0" xfId="0" applyFont="1"/>
    <xf numFmtId="0" fontId="86" fillId="0" borderId="12" xfId="0" applyFont="1" applyBorder="1"/>
    <xf numFmtId="0" fontId="86" fillId="0" borderId="0" xfId="0" applyFont="1" applyAlignment="1">
      <alignment horizontal="center"/>
    </xf>
    <xf numFmtId="0" fontId="86" fillId="29" borderId="0" xfId="0" applyFont="1" applyFill="1"/>
    <xf numFmtId="0" fontId="86" fillId="31" borderId="0" xfId="0" applyFont="1" applyFill="1"/>
    <xf numFmtId="0" fontId="86" fillId="26" borderId="12" xfId="0" applyFont="1" applyFill="1" applyBorder="1"/>
    <xf numFmtId="0" fontId="86" fillId="61" borderId="12" xfId="0" applyFont="1" applyFill="1" applyBorder="1"/>
    <xf numFmtId="0" fontId="86" fillId="61" borderId="0" xfId="0" applyFont="1" applyFill="1"/>
    <xf numFmtId="0" fontId="86" fillId="0" borderId="12" xfId="0" applyFont="1" applyBorder="1" applyAlignment="1">
      <alignment horizontal="center"/>
    </xf>
    <xf numFmtId="0" fontId="86" fillId="0" borderId="12" xfId="0" applyFont="1" applyBorder="1" applyAlignment="1">
      <alignment wrapText="1"/>
    </xf>
    <xf numFmtId="0" fontId="86" fillId="34" borderId="0" xfId="0" applyFont="1" applyFill="1"/>
    <xf numFmtId="0" fontId="87" fillId="0" borderId="7" xfId="0" applyFont="1" applyBorder="1" applyAlignment="1">
      <alignment horizontal="left"/>
    </xf>
    <xf numFmtId="0" fontId="39" fillId="0" borderId="20" xfId="0" applyFont="1" applyBorder="1" applyAlignment="1" applyProtection="1">
      <alignment horizontal="center" vertical="center" wrapText="1" shrinkToFit="1"/>
      <protection locked="0"/>
    </xf>
    <xf numFmtId="0" fontId="20" fillId="0" borderId="12" xfId="0" applyFont="1" applyBorder="1" applyAlignment="1">
      <alignment horizontal="center"/>
    </xf>
    <xf numFmtId="0" fontId="20" fillId="48" borderId="12" xfId="0" applyFont="1" applyFill="1" applyBorder="1" applyAlignment="1">
      <alignment horizontal="center"/>
    </xf>
    <xf numFmtId="0" fontId="20" fillId="49" borderId="12" xfId="0" applyFont="1" applyFill="1" applyBorder="1" applyAlignment="1">
      <alignment horizontal="center"/>
    </xf>
    <xf numFmtId="0" fontId="20" fillId="34" borderId="12" xfId="0" applyFont="1" applyFill="1" applyBorder="1" applyAlignment="1">
      <alignment horizontal="center"/>
    </xf>
    <xf numFmtId="0" fontId="20" fillId="26" borderId="12" xfId="0" applyFont="1" applyFill="1" applyBorder="1"/>
    <xf numFmtId="0" fontId="29" fillId="0" borderId="12" xfId="0" applyFont="1" applyBorder="1" applyAlignment="1" applyProtection="1">
      <alignment vertical="center"/>
      <protection locked="0"/>
    </xf>
    <xf numFmtId="0" fontId="29" fillId="0" borderId="35" xfId="0" applyFont="1" applyBorder="1" applyAlignment="1" applyProtection="1">
      <alignment horizontal="center" vertical="center"/>
      <protection locked="0"/>
    </xf>
    <xf numFmtId="0" fontId="0" fillId="0" borderId="0" xfId="0" applyAlignment="1">
      <alignment vertical="center"/>
    </xf>
    <xf numFmtId="0" fontId="0" fillId="37" borderId="0" xfId="0" applyFill="1"/>
    <xf numFmtId="0" fontId="86" fillId="37" borderId="0" xfId="0" applyFont="1" applyFill="1"/>
    <xf numFmtId="0" fontId="0" fillId="37" borderId="12" xfId="0" applyFill="1" applyBorder="1"/>
    <xf numFmtId="0" fontId="39" fillId="0" borderId="25" xfId="0" applyFont="1" applyBorder="1" applyAlignment="1" applyProtection="1">
      <alignment horizontal="center" vertical="center" wrapText="1" shrinkToFit="1"/>
      <protection locked="0"/>
    </xf>
    <xf numFmtId="0" fontId="0" fillId="62" borderId="12" xfId="0" applyFill="1" applyBorder="1" applyAlignment="1" applyProtection="1">
      <alignment horizontal="center"/>
      <protection locked="0"/>
    </xf>
    <xf numFmtId="0" fontId="86" fillId="26" borderId="0" xfId="0" applyFont="1" applyFill="1" applyAlignment="1">
      <alignment horizontal="center"/>
    </xf>
    <xf numFmtId="0" fontId="109" fillId="0" borderId="12" xfId="0" applyFont="1" applyBorder="1" applyAlignment="1">
      <alignment vertical="center"/>
    </xf>
    <xf numFmtId="0" fontId="86" fillId="27" borderId="0" xfId="0" applyFont="1" applyFill="1"/>
    <xf numFmtId="0" fontId="86" fillId="27" borderId="12" xfId="0" applyFont="1" applyFill="1" applyBorder="1"/>
    <xf numFmtId="0" fontId="0" fillId="27" borderId="12" xfId="0" applyFill="1" applyBorder="1"/>
    <xf numFmtId="0" fontId="32" fillId="0" borderId="117" xfId="0" applyFont="1" applyBorder="1" applyAlignment="1" applyProtection="1">
      <alignment vertical="center"/>
      <protection locked="0"/>
    </xf>
    <xf numFmtId="0" fontId="32" fillId="0" borderId="117" xfId="0" applyFont="1" applyBorder="1" applyAlignment="1" applyProtection="1">
      <alignment horizontal="center" vertical="center"/>
      <protection locked="0"/>
    </xf>
    <xf numFmtId="0" fontId="38" fillId="0" borderId="0" xfId="0" applyFont="1"/>
    <xf numFmtId="0" fontId="32" fillId="26" borderId="0" xfId="0" applyFont="1" applyFill="1" applyAlignment="1" applyProtection="1">
      <alignment vertical="center"/>
      <protection locked="0"/>
    </xf>
    <xf numFmtId="0" fontId="30" fillId="37" borderId="53" xfId="0" applyFont="1" applyFill="1" applyBorder="1" applyAlignment="1" applyProtection="1">
      <alignment horizontal="center" vertical="center" wrapText="1"/>
      <protection locked="0"/>
    </xf>
    <xf numFmtId="0" fontId="29" fillId="61" borderId="117" xfId="0" applyFont="1" applyFill="1" applyBorder="1" applyAlignment="1" applyProtection="1">
      <alignment horizontal="center" vertical="center" wrapText="1"/>
      <protection locked="0"/>
    </xf>
    <xf numFmtId="0" fontId="32" fillId="61" borderId="117" xfId="0" applyFont="1" applyFill="1" applyBorder="1" applyAlignment="1" applyProtection="1">
      <alignment horizontal="center" vertical="center"/>
      <protection locked="0"/>
    </xf>
    <xf numFmtId="0" fontId="65" fillId="34" borderId="12" xfId="0" applyFont="1" applyFill="1" applyBorder="1" applyAlignment="1">
      <alignment horizontal="center" vertical="center" wrapText="1"/>
    </xf>
    <xf numFmtId="0" fontId="44" fillId="0" borderId="12" xfId="0" applyFont="1" applyBorder="1" applyAlignment="1" applyProtection="1">
      <alignment vertical="center"/>
      <protection locked="0"/>
    </xf>
    <xf numFmtId="0" fontId="0" fillId="0" borderId="12" xfId="0" applyBorder="1" applyAlignment="1" applyProtection="1">
      <alignment vertical="center"/>
      <protection locked="0"/>
    </xf>
    <xf numFmtId="0" fontId="45" fillId="0" borderId="12" xfId="0" applyFont="1" applyBorder="1" applyProtection="1">
      <protection locked="0"/>
    </xf>
    <xf numFmtId="0" fontId="31" fillId="0" borderId="0" xfId="0" applyFont="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24" fillId="0" borderId="12" xfId="0" applyFont="1" applyBorder="1" applyAlignment="1">
      <alignment horizontal="left" vertical="center"/>
    </xf>
    <xf numFmtId="0" fontId="45" fillId="0" borderId="12" xfId="0" applyFont="1" applyBorder="1" applyAlignment="1" applyProtection="1">
      <alignment horizontal="left"/>
      <protection locked="0"/>
    </xf>
    <xf numFmtId="0" fontId="0" fillId="50" borderId="0" xfId="0" applyFill="1" applyProtection="1">
      <protection locked="0"/>
    </xf>
    <xf numFmtId="0" fontId="58" fillId="24" borderId="26" xfId="0" applyFont="1" applyFill="1" applyBorder="1" applyAlignment="1" applyProtection="1">
      <alignment horizontal="left" vertical="center" wrapText="1"/>
      <protection locked="0"/>
    </xf>
    <xf numFmtId="0" fontId="24" fillId="24" borderId="35" xfId="0" applyFont="1" applyFill="1" applyBorder="1" applyAlignment="1" applyProtection="1">
      <alignment horizontal="left" vertical="center" wrapText="1"/>
      <protection locked="0"/>
    </xf>
    <xf numFmtId="0" fontId="24" fillId="24" borderId="36" xfId="0" applyFont="1" applyFill="1" applyBorder="1" applyAlignment="1" applyProtection="1">
      <alignment horizontal="left" vertical="center" wrapText="1"/>
      <protection locked="0"/>
    </xf>
    <xf numFmtId="0" fontId="44" fillId="0" borderId="26" xfId="0" applyFont="1" applyBorder="1" applyAlignment="1" applyProtection="1">
      <alignment vertical="center"/>
      <protection locked="0"/>
    </xf>
    <xf numFmtId="0" fontId="44" fillId="0" borderId="35" xfId="0" applyFont="1" applyBorder="1" applyAlignment="1" applyProtection="1">
      <alignment vertical="center"/>
      <protection locked="0"/>
    </xf>
    <xf numFmtId="0" fontId="44" fillId="0" borderId="36" xfId="0" applyFont="1" applyBorder="1" applyAlignment="1" applyProtection="1">
      <alignment vertical="center"/>
      <protection locked="0"/>
    </xf>
    <xf numFmtId="0" fontId="54" fillId="0" borderId="12" xfId="0" applyFont="1" applyBorder="1" applyProtection="1">
      <protection locked="0"/>
    </xf>
    <xf numFmtId="0" fontId="0" fillId="0" borderId="12" xfId="0" applyBorder="1" applyProtection="1">
      <protection locked="0"/>
    </xf>
    <xf numFmtId="0" fontId="24" fillId="0" borderId="12"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46" fillId="0" borderId="12" xfId="0" applyFont="1" applyBorder="1" applyProtection="1">
      <protection locked="0"/>
    </xf>
    <xf numFmtId="0" fontId="20" fillId="10" borderId="12" xfId="0" applyFont="1" applyFill="1" applyBorder="1" applyAlignment="1" applyProtection="1">
      <alignment horizontal="center"/>
      <protection locked="0"/>
    </xf>
    <xf numFmtId="165" fontId="45" fillId="0" borderId="12" xfId="0" applyNumberFormat="1" applyFont="1" applyBorder="1" applyAlignment="1" applyProtection="1">
      <alignment horizontal="left"/>
      <protection locked="0"/>
    </xf>
    <xf numFmtId="0" fontId="45" fillId="20" borderId="26" xfId="0" applyFont="1" applyFill="1" applyBorder="1" applyAlignment="1" applyProtection="1">
      <alignment horizontal="left"/>
      <protection locked="0"/>
    </xf>
    <xf numFmtId="0" fontId="45" fillId="20" borderId="35" xfId="0" applyFont="1" applyFill="1" applyBorder="1" applyAlignment="1" applyProtection="1">
      <alignment horizontal="left"/>
      <protection locked="0"/>
    </xf>
    <xf numFmtId="0" fontId="0" fillId="20" borderId="36" xfId="0" applyFill="1" applyBorder="1" applyAlignment="1" applyProtection="1">
      <alignment horizontal="left"/>
      <protection locked="0"/>
    </xf>
    <xf numFmtId="0" fontId="45" fillId="0" borderId="26" xfId="0" applyFont="1" applyBorder="1" applyAlignment="1" applyProtection="1">
      <alignment horizontal="left"/>
      <protection locked="0"/>
    </xf>
    <xf numFmtId="0" fontId="45" fillId="0" borderId="35" xfId="0" applyFont="1" applyBorder="1" applyAlignment="1" applyProtection="1">
      <alignment horizontal="left"/>
      <protection locked="0"/>
    </xf>
    <xf numFmtId="0" fontId="45" fillId="0" borderId="36" xfId="0" applyFont="1" applyBorder="1" applyAlignment="1" applyProtection="1">
      <alignment horizontal="left"/>
      <protection locked="0"/>
    </xf>
    <xf numFmtId="0" fontId="20" fillId="0" borderId="0" xfId="0" applyFont="1" applyAlignment="1" applyProtection="1">
      <alignment horizontal="left" vertical="center"/>
      <protection locked="0"/>
    </xf>
    <xf numFmtId="0" fontId="82" fillId="0" borderId="12" xfId="0" applyFont="1" applyBorder="1" applyAlignment="1" applyProtection="1">
      <alignment horizontal="center" vertical="center" wrapText="1"/>
      <protection locked="0"/>
    </xf>
    <xf numFmtId="0" fontId="82" fillId="0" borderId="12" xfId="0" applyFont="1" applyBorder="1" applyAlignment="1" applyProtection="1">
      <alignment horizontal="center" vertical="center"/>
      <protection locked="0"/>
    </xf>
    <xf numFmtId="0" fontId="20" fillId="0" borderId="33" xfId="0" applyFont="1" applyBorder="1" applyAlignment="1" applyProtection="1">
      <alignment horizontal="center"/>
      <protection locked="0"/>
    </xf>
    <xf numFmtId="0" fontId="20" fillId="28" borderId="12" xfId="0" applyFont="1" applyFill="1" applyBorder="1" applyAlignment="1" applyProtection="1">
      <alignment horizontal="center"/>
      <protection locked="0"/>
    </xf>
    <xf numFmtId="0" fontId="59" fillId="0" borderId="26" xfId="0" applyFont="1" applyBorder="1" applyAlignment="1">
      <alignment horizontal="center"/>
    </xf>
    <xf numFmtId="0" fontId="59" fillId="0" borderId="35" xfId="0" applyFont="1" applyBorder="1" applyAlignment="1">
      <alignment horizontal="center"/>
    </xf>
    <xf numFmtId="0" fontId="59" fillId="0" borderId="36" xfId="0" applyFont="1" applyBorder="1" applyAlignment="1">
      <alignment horizontal="center"/>
    </xf>
    <xf numFmtId="0" fontId="20" fillId="44" borderId="26" xfId="0" applyFont="1" applyFill="1" applyBorder="1" applyAlignment="1" applyProtection="1">
      <alignment horizontal="center"/>
      <protection locked="0"/>
    </xf>
    <xf numFmtId="0" fontId="20" fillId="44" borderId="35" xfId="0" applyFont="1" applyFill="1" applyBorder="1" applyAlignment="1" applyProtection="1">
      <alignment horizontal="center"/>
      <protection locked="0"/>
    </xf>
    <xf numFmtId="0" fontId="20" fillId="44" borderId="36" xfId="0" applyFont="1" applyFill="1" applyBorder="1" applyAlignment="1" applyProtection="1">
      <alignment horizontal="center"/>
      <protection locked="0"/>
    </xf>
    <xf numFmtId="0" fontId="46" fillId="0" borderId="26" xfId="0" applyFont="1" applyBorder="1" applyAlignment="1" applyProtection="1">
      <alignment horizontal="center"/>
      <protection locked="0"/>
    </xf>
    <xf numFmtId="0" fontId="46" fillId="0" borderId="35" xfId="0" applyFont="1" applyBorder="1" applyAlignment="1" applyProtection="1">
      <alignment horizontal="center"/>
      <protection locked="0"/>
    </xf>
    <xf numFmtId="0" fontId="46" fillId="0" borderId="36" xfId="0" applyFont="1" applyBorder="1" applyAlignment="1" applyProtection="1">
      <alignment horizontal="center"/>
      <protection locked="0"/>
    </xf>
    <xf numFmtId="0" fontId="46" fillId="0" borderId="12" xfId="0" applyFont="1" applyBorder="1" applyAlignment="1" applyProtection="1">
      <alignment horizontal="center"/>
      <protection locked="0"/>
    </xf>
    <xf numFmtId="0" fontId="33" fillId="0" borderId="0" xfId="0" applyFont="1" applyAlignment="1" applyProtection="1">
      <alignment horizontal="center" vertical="center"/>
      <protection locked="0"/>
    </xf>
    <xf numFmtId="0" fontId="33" fillId="0" borderId="46" xfId="0" applyFont="1" applyBorder="1" applyAlignment="1" applyProtection="1">
      <alignment horizontal="center" vertical="center"/>
      <protection locked="0"/>
    </xf>
    <xf numFmtId="0" fontId="30" fillId="0" borderId="12" xfId="0" applyFont="1" applyBorder="1" applyAlignment="1" applyProtection="1">
      <alignment horizontal="left" vertical="center"/>
      <protection locked="0"/>
    </xf>
    <xf numFmtId="0" fontId="31" fillId="0" borderId="26" xfId="0" applyFont="1" applyBorder="1" applyAlignment="1">
      <alignment horizontal="lef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60" fillId="0" borderId="11" xfId="0" applyFont="1" applyBorder="1" applyAlignment="1" applyProtection="1">
      <alignment horizontal="left" vertical="center" wrapText="1"/>
      <protection locked="0"/>
    </xf>
    <xf numFmtId="0" fontId="61" fillId="0" borderId="0" xfId="0" applyFont="1" applyAlignment="1" applyProtection="1">
      <alignment horizontal="center" vertical="center"/>
      <protection locked="0"/>
    </xf>
    <xf numFmtId="0" fontId="28" fillId="0" borderId="59" xfId="0" applyFont="1" applyBorder="1" applyAlignment="1" applyProtection="1">
      <alignment horizontal="center" vertical="center"/>
      <protection locked="0"/>
    </xf>
    <xf numFmtId="0" fontId="0" fillId="0" borderId="27" xfId="0" applyBorder="1" applyProtection="1">
      <protection locked="0"/>
    </xf>
    <xf numFmtId="0" fontId="0" fillId="0" borderId="58" xfId="0" applyBorder="1" applyProtection="1">
      <protection locked="0"/>
    </xf>
    <xf numFmtId="0" fontId="48" fillId="0" borderId="12" xfId="0" applyFont="1" applyBorder="1" applyAlignment="1">
      <alignment horizontal="left" vertical="center"/>
    </xf>
    <xf numFmtId="0" fontId="48" fillId="0" borderId="12" xfId="0" applyFont="1" applyBorder="1" applyAlignment="1">
      <alignment vertical="center"/>
    </xf>
    <xf numFmtId="0" fontId="28" fillId="27" borderId="0" xfId="0" applyFont="1" applyFill="1" applyAlignment="1" applyProtection="1">
      <alignment horizontal="center" vertical="center"/>
      <protection locked="0"/>
    </xf>
    <xf numFmtId="0" fontId="28" fillId="27" borderId="46" xfId="0" applyFont="1" applyFill="1" applyBorder="1" applyAlignment="1" applyProtection="1">
      <alignment horizontal="center" vertical="center"/>
      <protection locked="0"/>
    </xf>
    <xf numFmtId="0" fontId="31" fillId="0" borderId="12" xfId="0" applyFont="1" applyBorder="1" applyAlignment="1">
      <alignment horizontal="left" vertical="center"/>
    </xf>
    <xf numFmtId="0" fontId="0" fillId="0" borderId="12" xfId="0" applyBorder="1" applyAlignment="1">
      <alignment vertical="center"/>
    </xf>
    <xf numFmtId="0" fontId="33" fillId="0" borderId="12" xfId="0" applyFont="1" applyBorder="1" applyAlignment="1" applyProtection="1">
      <alignment horizontal="center" vertical="center"/>
      <protection locked="0"/>
    </xf>
    <xf numFmtId="0" fontId="62" fillId="0" borderId="26" xfId="0" applyFont="1" applyBorder="1" applyAlignment="1" applyProtection="1">
      <alignment horizontal="center" vertical="center"/>
      <protection locked="0"/>
    </xf>
    <xf numFmtId="0" fontId="62" fillId="0" borderId="36" xfId="0" applyFont="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36" xfId="0" applyFont="1" applyBorder="1" applyAlignment="1" applyProtection="1">
      <alignment horizontal="center" vertical="center"/>
      <protection locked="0"/>
    </xf>
    <xf numFmtId="0" fontId="31" fillId="0" borderId="26" xfId="0" applyFont="1" applyBorder="1" applyAlignment="1">
      <alignment horizontal="left" vertical="center"/>
    </xf>
    <xf numFmtId="0" fontId="31" fillId="0" borderId="35" xfId="0" applyFont="1" applyBorder="1" applyAlignment="1">
      <alignment horizontal="left" vertical="center"/>
    </xf>
    <xf numFmtId="0" fontId="31" fillId="0" borderId="36" xfId="0" applyFont="1" applyBorder="1" applyAlignment="1">
      <alignment horizontal="left" vertical="center"/>
    </xf>
    <xf numFmtId="0" fontId="39" fillId="0" borderId="24" xfId="0" applyFont="1" applyBorder="1" applyAlignment="1" applyProtection="1">
      <alignment horizontal="center" vertical="center"/>
      <protection locked="0"/>
    </xf>
    <xf numFmtId="0" fontId="39" fillId="0" borderId="60" xfId="0" applyFont="1" applyBorder="1" applyAlignment="1" applyProtection="1">
      <alignment horizontal="center" vertical="center"/>
      <protection locked="0"/>
    </xf>
    <xf numFmtId="0" fontId="39" fillId="0" borderId="13" xfId="0" applyFont="1" applyBorder="1" applyAlignment="1" applyProtection="1">
      <alignment horizontal="center" vertical="center" wrapText="1" shrinkToFit="1"/>
      <protection locked="0"/>
    </xf>
    <xf numFmtId="0" fontId="39" fillId="0" borderId="32" xfId="0" applyFont="1" applyBorder="1" applyAlignment="1" applyProtection="1">
      <alignment horizontal="center" vertical="center" wrapText="1" shrinkToFit="1"/>
      <protection locked="0"/>
    </xf>
    <xf numFmtId="0" fontId="39" fillId="0" borderId="19" xfId="0" applyFont="1" applyBorder="1" applyAlignment="1" applyProtection="1">
      <alignment horizontal="center" vertical="center"/>
      <protection locked="0"/>
    </xf>
    <xf numFmtId="0" fontId="39" fillId="0" borderId="23" xfId="0" applyFont="1" applyBorder="1" applyAlignment="1" applyProtection="1">
      <alignment horizontal="center" vertical="center"/>
      <protection locked="0"/>
    </xf>
    <xf numFmtId="0" fontId="39" fillId="0" borderId="18" xfId="0" applyFont="1" applyBorder="1" applyAlignment="1" applyProtection="1">
      <alignment horizontal="center" vertical="center" wrapText="1" shrinkToFit="1"/>
      <protection locked="0"/>
    </xf>
    <xf numFmtId="0" fontId="38" fillId="0" borderId="33" xfId="0" applyFont="1" applyBorder="1" applyAlignment="1" applyProtection="1">
      <alignment horizontal="left" vertical="center"/>
      <protection locked="0"/>
    </xf>
    <xf numFmtId="0" fontId="0" fillId="0" borderId="33" xfId="0" applyBorder="1" applyProtection="1">
      <protection locked="0"/>
    </xf>
    <xf numFmtId="0" fontId="0" fillId="0" borderId="34" xfId="0" applyBorder="1" applyProtection="1">
      <protection locked="0"/>
    </xf>
    <xf numFmtId="14" fontId="0" fillId="0" borderId="12" xfId="0" applyNumberFormat="1" applyBorder="1" applyAlignment="1">
      <alignment horizontal="left" vertical="center"/>
    </xf>
    <xf numFmtId="0" fontId="0" fillId="0" borderId="12" xfId="0" applyBorder="1" applyAlignment="1">
      <alignment horizontal="left" vertical="center"/>
    </xf>
    <xf numFmtId="0" fontId="30" fillId="2" borderId="49"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30" fillId="2" borderId="49"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65" fillId="0" borderId="72" xfId="0" applyFont="1" applyBorder="1" applyAlignment="1" applyProtection="1">
      <alignment horizontal="center" vertical="center"/>
      <protection locked="0"/>
    </xf>
    <xf numFmtId="0" fontId="66" fillId="0" borderId="72" xfId="0" applyFont="1" applyBorder="1" applyAlignment="1">
      <alignment horizontal="center" vertical="center"/>
    </xf>
    <xf numFmtId="0" fontId="39" fillId="0" borderId="22" xfId="0" applyFont="1" applyBorder="1" applyAlignment="1" applyProtection="1">
      <alignment horizontal="center" vertical="center"/>
      <protection locked="0"/>
    </xf>
    <xf numFmtId="0" fontId="39" fillId="0" borderId="38" xfId="0" applyFont="1" applyBorder="1" applyAlignment="1" applyProtection="1">
      <alignment horizontal="center" vertical="center"/>
      <protection locked="0"/>
    </xf>
    <xf numFmtId="0" fontId="39" fillId="0" borderId="21" xfId="0" applyFont="1" applyBorder="1" applyAlignment="1" applyProtection="1">
      <alignment horizontal="center" vertical="center" wrapText="1" shrinkToFit="1"/>
      <protection locked="0"/>
    </xf>
    <xf numFmtId="0" fontId="28" fillId="29" borderId="0" xfId="0" applyFont="1" applyFill="1" applyAlignment="1" applyProtection="1">
      <alignment horizontal="center" vertical="center"/>
      <protection locked="0"/>
    </xf>
    <xf numFmtId="0" fontId="28" fillId="29" borderId="46" xfId="0" applyFont="1" applyFill="1" applyBorder="1" applyAlignment="1" applyProtection="1">
      <alignment horizontal="center" vertical="center"/>
      <protection locked="0"/>
    </xf>
    <xf numFmtId="0" fontId="0" fillId="0" borderId="33" xfId="0" applyBorder="1" applyAlignment="1" applyProtection="1">
      <alignment vertical="center"/>
      <protection locked="0"/>
    </xf>
    <xf numFmtId="0" fontId="0" fillId="0" borderId="34" xfId="0" applyBorder="1" applyAlignment="1" applyProtection="1">
      <alignment vertical="center"/>
      <protection locked="0"/>
    </xf>
    <xf numFmtId="0" fontId="30" fillId="2" borderId="53" xfId="0" applyFont="1" applyFill="1" applyBorder="1" applyAlignment="1" applyProtection="1">
      <alignment horizontal="center" vertical="center" wrapText="1"/>
      <protection locked="0"/>
    </xf>
    <xf numFmtId="0" fontId="30" fillId="2" borderId="54" xfId="0" applyFont="1" applyFill="1" applyBorder="1" applyAlignment="1" applyProtection="1">
      <alignment horizontal="center" vertical="center" wrapText="1"/>
      <protection locked="0"/>
    </xf>
    <xf numFmtId="0" fontId="39" fillId="0" borderId="24" xfId="0" applyFont="1" applyBorder="1" applyAlignment="1" applyProtection="1">
      <alignment horizontal="center" vertical="center" wrapText="1" shrinkToFit="1"/>
      <protection locked="0"/>
    </xf>
    <xf numFmtId="0" fontId="39" fillId="0" borderId="60" xfId="0" applyFont="1" applyBorder="1" applyAlignment="1" applyProtection="1">
      <alignment horizontal="center" vertical="center" wrapText="1" shrinkToFit="1"/>
      <protection locked="0"/>
    </xf>
    <xf numFmtId="0" fontId="31" fillId="0" borderId="12" xfId="0" applyFont="1" applyBorder="1" applyAlignment="1">
      <alignment horizontal="left" vertical="center" shrinkToFit="1"/>
    </xf>
    <xf numFmtId="0" fontId="0" fillId="0" borderId="12" xfId="0" applyBorder="1" applyAlignment="1">
      <alignment vertical="center" shrinkToFit="1"/>
    </xf>
    <xf numFmtId="0" fontId="66" fillId="0" borderId="69" xfId="0" applyFont="1" applyBorder="1" applyAlignment="1">
      <alignment horizontal="center" vertical="center"/>
    </xf>
    <xf numFmtId="0" fontId="66" fillId="0" borderId="70" xfId="0" applyFont="1" applyBorder="1" applyAlignment="1">
      <alignment horizontal="center" vertical="center"/>
    </xf>
    <xf numFmtId="0" fontId="66" fillId="0" borderId="71" xfId="0" applyFont="1" applyBorder="1" applyAlignment="1">
      <alignment horizontal="center" vertical="center"/>
    </xf>
    <xf numFmtId="0" fontId="39" fillId="0" borderId="19" xfId="0" applyFont="1" applyBorder="1" applyAlignment="1" applyProtection="1">
      <alignment horizontal="center" vertical="center" wrapText="1" shrinkToFit="1"/>
      <protection locked="0"/>
    </xf>
    <xf numFmtId="0" fontId="39" fillId="0" borderId="23" xfId="0" applyFont="1" applyBorder="1" applyAlignment="1" applyProtection="1">
      <alignment horizontal="center" vertical="center" wrapText="1" shrinkToFit="1"/>
      <protection locked="0"/>
    </xf>
    <xf numFmtId="0" fontId="39" fillId="0" borderId="22" xfId="0" applyFont="1" applyBorder="1" applyAlignment="1" applyProtection="1">
      <alignment horizontal="center" vertical="center" wrapText="1" shrinkToFit="1"/>
      <protection locked="0"/>
    </xf>
    <xf numFmtId="0" fontId="39" fillId="0" borderId="38" xfId="0" applyFont="1" applyBorder="1" applyAlignment="1" applyProtection="1">
      <alignment horizontal="center" vertical="center" wrapText="1" shrinkToFit="1"/>
      <protection locked="0"/>
    </xf>
    <xf numFmtId="0" fontId="39" fillId="0" borderId="63" xfId="0" applyFont="1" applyBorder="1" applyAlignment="1" applyProtection="1">
      <alignment horizontal="center" vertical="center"/>
      <protection locked="0"/>
    </xf>
    <xf numFmtId="0" fontId="39" fillId="0" borderId="64"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39" xfId="0" applyFont="1" applyBorder="1" applyAlignment="1" applyProtection="1">
      <alignment horizontal="center" vertical="center"/>
      <protection locked="0"/>
    </xf>
    <xf numFmtId="0" fontId="0" fillId="0" borderId="70" xfId="0" applyBorder="1"/>
    <xf numFmtId="0" fontId="0" fillId="0" borderId="71" xfId="0" applyBorder="1"/>
    <xf numFmtId="0" fontId="69" fillId="0" borderId="69" xfId="0" applyFont="1" applyBorder="1" applyAlignment="1" applyProtection="1">
      <alignment horizontal="center" vertical="center"/>
      <protection locked="0"/>
    </xf>
    <xf numFmtId="0" fontId="69" fillId="0" borderId="70" xfId="0" applyFont="1" applyBorder="1" applyAlignment="1" applyProtection="1">
      <alignment horizontal="center" vertical="center"/>
      <protection locked="0"/>
    </xf>
    <xf numFmtId="0" fontId="69" fillId="0" borderId="71" xfId="0" applyFont="1" applyBorder="1" applyAlignment="1" applyProtection="1">
      <alignment horizontal="center" vertical="center"/>
      <protection locked="0"/>
    </xf>
    <xf numFmtId="0" fontId="28" fillId="31" borderId="0" xfId="0" applyFont="1" applyFill="1" applyAlignment="1" applyProtection="1">
      <alignment horizontal="center" vertical="center"/>
      <protection locked="0"/>
    </xf>
    <xf numFmtId="0" fontId="28" fillId="31" borderId="46" xfId="0" applyFont="1" applyFill="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9" fillId="0" borderId="19" xfId="0" applyFont="1" applyBorder="1" applyAlignment="1" applyProtection="1">
      <alignment horizontal="center" vertical="center" shrinkToFit="1"/>
      <protection locked="0"/>
    </xf>
    <xf numFmtId="0" fontId="39" fillId="0" borderId="100" xfId="0" applyFont="1" applyBorder="1" applyAlignment="1" applyProtection="1">
      <alignment horizontal="center" vertical="center" shrinkToFit="1"/>
      <protection locked="0"/>
    </xf>
    <xf numFmtId="0" fontId="39" fillId="0" borderId="22" xfId="0" applyFont="1" applyBorder="1" applyAlignment="1" applyProtection="1">
      <alignment horizontal="center" vertical="center" shrinkToFit="1"/>
      <protection locked="0"/>
    </xf>
    <xf numFmtId="0" fontId="39" fillId="0" borderId="101" xfId="0" applyFont="1" applyBorder="1" applyAlignment="1" applyProtection="1">
      <alignment horizontal="center" vertical="center" shrinkToFit="1"/>
      <protection locked="0"/>
    </xf>
    <xf numFmtId="0" fontId="30" fillId="2" borderId="98" xfId="0" applyFont="1" applyFill="1" applyBorder="1" applyAlignment="1" applyProtection="1">
      <alignment horizontal="center" vertical="center" wrapText="1"/>
      <protection locked="0"/>
    </xf>
    <xf numFmtId="0" fontId="39" fillId="0" borderId="24" xfId="0" applyFont="1" applyBorder="1" applyAlignment="1" applyProtection="1">
      <alignment horizontal="center" vertical="center" shrinkToFit="1"/>
      <protection locked="0"/>
    </xf>
    <xf numFmtId="0" fontId="39" fillId="0" borderId="99" xfId="0" applyFont="1" applyBorder="1" applyAlignment="1" applyProtection="1">
      <alignment horizontal="center" vertical="center" shrinkToFit="1"/>
      <protection locked="0"/>
    </xf>
    <xf numFmtId="0" fontId="28" fillId="26" borderId="0" xfId="0" applyFont="1" applyFill="1" applyAlignment="1" applyProtection="1">
      <alignment horizontal="center" vertical="center"/>
      <protection locked="0"/>
    </xf>
    <xf numFmtId="0" fontId="28" fillId="26" borderId="46" xfId="0" applyFont="1" applyFill="1" applyBorder="1" applyAlignment="1" applyProtection="1">
      <alignment horizontal="center" vertical="center"/>
      <protection locked="0"/>
    </xf>
    <xf numFmtId="0" fontId="0" fillId="0" borderId="33" xfId="0" applyBorder="1" applyAlignment="1" applyProtection="1">
      <alignment horizontal="center"/>
      <protection locked="0"/>
    </xf>
    <xf numFmtId="0" fontId="48" fillId="0" borderId="26" xfId="0" applyFont="1" applyBorder="1" applyAlignment="1">
      <alignment horizontal="left" vertical="center"/>
    </xf>
    <xf numFmtId="0" fontId="48" fillId="0" borderId="35" xfId="0" applyFont="1" applyBorder="1" applyAlignment="1">
      <alignment horizontal="left" vertical="center"/>
    </xf>
    <xf numFmtId="0" fontId="48" fillId="0" borderId="36" xfId="0" applyFont="1" applyBorder="1" applyAlignment="1">
      <alignment horizontal="left" vertical="center"/>
    </xf>
    <xf numFmtId="0" fontId="28" fillId="30" borderId="0" xfId="0" applyFont="1" applyFill="1" applyAlignment="1" applyProtection="1">
      <alignment horizontal="center" vertical="center"/>
      <protection locked="0"/>
    </xf>
    <xf numFmtId="0" fontId="28" fillId="30" borderId="46" xfId="0" applyFont="1" applyFill="1" applyBorder="1" applyAlignment="1" applyProtection="1">
      <alignment horizontal="center" vertical="center"/>
      <protection locked="0"/>
    </xf>
    <xf numFmtId="0" fontId="31" fillId="0" borderId="35" xfId="0" applyFont="1" applyBorder="1" applyAlignment="1">
      <alignment horizontal="left" vertical="center" shrinkToFit="1"/>
    </xf>
    <xf numFmtId="0" fontId="31" fillId="0" borderId="36" xfId="0" applyFont="1" applyBorder="1" applyAlignment="1">
      <alignment horizontal="left" vertical="center" shrinkToFit="1"/>
    </xf>
    <xf numFmtId="14" fontId="0" fillId="0" borderId="26" xfId="0" applyNumberFormat="1" applyBorder="1" applyAlignment="1">
      <alignment horizontal="left" vertical="center"/>
    </xf>
    <xf numFmtId="14" fontId="0" fillId="0" borderId="35" xfId="0" applyNumberFormat="1" applyBorder="1" applyAlignment="1">
      <alignment horizontal="left" vertical="center"/>
    </xf>
    <xf numFmtId="14" fontId="0" fillId="0" borderId="36" xfId="0" applyNumberFormat="1" applyBorder="1" applyAlignment="1">
      <alignment horizontal="left" vertical="center"/>
    </xf>
    <xf numFmtId="0" fontId="39" fillId="0" borderId="22" xfId="0" applyFont="1" applyBorder="1" applyAlignment="1" applyProtection="1">
      <alignment horizontal="center" vertical="center" wrapText="1"/>
      <protection locked="0"/>
    </xf>
    <xf numFmtId="0" fontId="39" fillId="0" borderId="101" xfId="0" applyFont="1" applyBorder="1" applyAlignment="1" applyProtection="1">
      <alignment horizontal="center" vertical="center" wrapText="1"/>
      <protection locked="0"/>
    </xf>
    <xf numFmtId="0" fontId="30" fillId="0" borderId="26" xfId="0" applyFont="1" applyBorder="1" applyAlignment="1" applyProtection="1">
      <alignment horizontal="left" vertical="center"/>
      <protection locked="0"/>
    </xf>
    <xf numFmtId="0" fontId="30" fillId="0" borderId="36" xfId="0" applyFont="1" applyBorder="1" applyAlignment="1" applyProtection="1">
      <alignment horizontal="left" vertical="center"/>
      <protection locked="0"/>
    </xf>
    <xf numFmtId="0" fontId="39" fillId="0" borderId="19" xfId="0" applyFont="1" applyBorder="1" applyAlignment="1" applyProtection="1">
      <alignment horizontal="center" vertical="center" wrapText="1"/>
      <protection locked="0"/>
    </xf>
    <xf numFmtId="0" fontId="39" fillId="0" borderId="100" xfId="0" applyFont="1" applyBorder="1" applyAlignment="1" applyProtection="1">
      <alignment horizontal="center" vertical="center" wrapText="1"/>
      <protection locked="0"/>
    </xf>
    <xf numFmtId="0" fontId="65" fillId="0" borderId="69" xfId="0" applyFont="1" applyBorder="1" applyAlignment="1" applyProtection="1">
      <alignment horizontal="center" vertical="center"/>
      <protection locked="0"/>
    </xf>
    <xf numFmtId="0" fontId="65" fillId="0" borderId="71" xfId="0" applyFont="1" applyBorder="1" applyAlignment="1" applyProtection="1">
      <alignment horizontal="center" vertical="center"/>
      <protection locked="0"/>
    </xf>
    <xf numFmtId="0" fontId="39" fillId="0" borderId="24" xfId="0" applyFont="1" applyBorder="1" applyAlignment="1" applyProtection="1">
      <alignment horizontal="center" vertical="center" wrapText="1"/>
      <protection locked="0"/>
    </xf>
    <xf numFmtId="0" fontId="39" fillId="0" borderId="99" xfId="0" applyFont="1" applyBorder="1" applyAlignment="1" applyProtection="1">
      <alignment horizontal="center" vertical="center" wrapText="1"/>
      <protection locked="0"/>
    </xf>
    <xf numFmtId="0" fontId="28" fillId="34" borderId="0" xfId="0" applyFont="1" applyFill="1" applyAlignment="1" applyProtection="1">
      <alignment horizontal="center" vertical="center"/>
      <protection locked="0"/>
    </xf>
    <xf numFmtId="0" fontId="62" fillId="0" borderId="35" xfId="0" applyFont="1" applyBorder="1" applyAlignment="1" applyProtection="1">
      <alignment horizontal="center" vertical="center"/>
      <protection locked="0"/>
    </xf>
    <xf numFmtId="0" fontId="31" fillId="0" borderId="26" xfId="0" applyFont="1" applyBorder="1" applyAlignment="1" applyProtection="1">
      <alignment horizontal="left" vertical="center"/>
      <protection locked="0"/>
    </xf>
    <xf numFmtId="0" fontId="31" fillId="0" borderId="35" xfId="0" applyFont="1" applyBorder="1" applyAlignment="1" applyProtection="1">
      <alignment horizontal="left" vertical="center"/>
      <protection locked="0"/>
    </xf>
    <xf numFmtId="0" fontId="31" fillId="0" borderId="36" xfId="0" applyFont="1" applyBorder="1" applyAlignment="1" applyProtection="1">
      <alignment horizontal="left" vertical="center"/>
      <protection locked="0"/>
    </xf>
    <xf numFmtId="0" fontId="48" fillId="0" borderId="26" xfId="0" applyFont="1" applyBorder="1" applyAlignment="1" applyProtection="1">
      <alignment horizontal="left" vertical="center"/>
      <protection locked="0"/>
    </xf>
    <xf numFmtId="0" fontId="48" fillId="0" borderId="35" xfId="0" applyFont="1" applyBorder="1" applyAlignment="1" applyProtection="1">
      <alignment horizontal="left" vertical="center"/>
      <protection locked="0"/>
    </xf>
    <xf numFmtId="0" fontId="48" fillId="0" borderId="36" xfId="0" applyFont="1" applyBorder="1" applyAlignment="1" applyProtection="1">
      <alignment horizontal="left" vertical="center"/>
      <protection locked="0"/>
    </xf>
    <xf numFmtId="0" fontId="28" fillId="53" borderId="0" xfId="0" applyFont="1" applyFill="1" applyAlignment="1" applyProtection="1">
      <alignment horizontal="center" vertical="center"/>
      <protection locked="0"/>
    </xf>
    <xf numFmtId="0" fontId="28" fillId="53" borderId="46" xfId="0" applyFont="1" applyFill="1" applyBorder="1" applyAlignment="1" applyProtection="1">
      <alignment horizontal="center" vertical="center"/>
      <protection locked="0"/>
    </xf>
    <xf numFmtId="0" fontId="65" fillId="0" borderId="70" xfId="0" applyFont="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0" fontId="32" fillId="0" borderId="36" xfId="0" applyFont="1" applyBorder="1" applyAlignment="1" applyProtection="1">
      <alignment horizontal="center" vertical="center"/>
      <protection locked="0"/>
    </xf>
    <xf numFmtId="14" fontId="0" fillId="0" borderId="26" xfId="0" applyNumberFormat="1" applyBorder="1" applyAlignment="1" applyProtection="1">
      <alignment horizontal="left" vertical="center"/>
      <protection locked="0"/>
    </xf>
    <xf numFmtId="14" fontId="0" fillId="0" borderId="35" xfId="0" applyNumberFormat="1" applyBorder="1" applyAlignment="1" applyProtection="1">
      <alignment horizontal="left" vertical="center"/>
      <protection locked="0"/>
    </xf>
    <xf numFmtId="14" fontId="0" fillId="0" borderId="36" xfId="0" applyNumberFormat="1" applyBorder="1" applyAlignment="1" applyProtection="1">
      <alignment horizontal="left" vertical="center"/>
      <protection locked="0"/>
    </xf>
    <xf numFmtId="0" fontId="39" fillId="0" borderId="123" xfId="0" applyFont="1" applyBorder="1" applyAlignment="1" applyProtection="1">
      <alignment horizontal="center" vertical="center" shrinkToFit="1"/>
      <protection locked="0"/>
    </xf>
    <xf numFmtId="0" fontId="39" fillId="0" borderId="67" xfId="0" applyFont="1" applyBorder="1" applyAlignment="1" applyProtection="1">
      <alignment horizontal="center" vertical="center" shrinkToFit="1"/>
      <protection locked="0"/>
    </xf>
    <xf numFmtId="0" fontId="39" fillId="0" borderId="124" xfId="0" applyFont="1" applyBorder="1" applyAlignment="1" applyProtection="1">
      <alignment horizontal="center" vertical="center" shrinkToFit="1"/>
      <protection locked="0"/>
    </xf>
    <xf numFmtId="0" fontId="39" fillId="0" borderId="102" xfId="0" applyFont="1" applyBorder="1" applyAlignment="1" applyProtection="1">
      <alignment horizontal="center" vertical="center" shrinkToFit="1"/>
      <protection locked="0"/>
    </xf>
    <xf numFmtId="0" fontId="39" fillId="0" borderId="103" xfId="0" applyFont="1" applyBorder="1" applyAlignment="1" applyProtection="1">
      <alignment horizontal="center" vertical="center" shrinkToFit="1"/>
      <protection locked="0"/>
    </xf>
    <xf numFmtId="0" fontId="39" fillId="0" borderId="127" xfId="0" applyFont="1" applyBorder="1" applyAlignment="1" applyProtection="1">
      <alignment horizontal="center" vertical="center" shrinkToFit="1"/>
      <protection locked="0"/>
    </xf>
    <xf numFmtId="0" fontId="39" fillId="0" borderId="121" xfId="0" applyFont="1" applyBorder="1" applyAlignment="1" applyProtection="1">
      <alignment horizontal="center" vertical="center"/>
      <protection locked="0"/>
    </xf>
    <xf numFmtId="0" fontId="39" fillId="0" borderId="66" xfId="0" applyFont="1" applyBorder="1" applyAlignment="1" applyProtection="1">
      <alignment horizontal="center" vertical="center"/>
      <protection locked="0"/>
    </xf>
    <xf numFmtId="0" fontId="39" fillId="0" borderId="122" xfId="0" applyFont="1" applyBorder="1" applyAlignment="1" applyProtection="1">
      <alignment horizontal="center" vertical="center"/>
      <protection locked="0"/>
    </xf>
    <xf numFmtId="0" fontId="60" fillId="40" borderId="83" xfId="0" applyFont="1" applyFill="1" applyBorder="1" applyAlignment="1" applyProtection="1">
      <alignment horizontal="center" vertical="center" wrapText="1"/>
      <protection locked="0"/>
    </xf>
    <xf numFmtId="0" fontId="60" fillId="40" borderId="84" xfId="0" applyFont="1" applyFill="1" applyBorder="1" applyAlignment="1" applyProtection="1">
      <alignment horizontal="center" vertical="center" wrapText="1"/>
      <protection locked="0"/>
    </xf>
    <xf numFmtId="0" fontId="60" fillId="40" borderId="85" xfId="0" applyFont="1" applyFill="1" applyBorder="1" applyAlignment="1" applyProtection="1">
      <alignment horizontal="center" vertical="center"/>
      <protection locked="0"/>
    </xf>
    <xf numFmtId="0" fontId="39" fillId="0" borderId="125" xfId="0" applyFont="1" applyBorder="1" applyAlignment="1" applyProtection="1">
      <alignment horizontal="center" vertical="center" shrinkToFit="1"/>
      <protection locked="0"/>
    </xf>
    <xf numFmtId="0" fontId="39" fillId="0" borderId="68" xfId="0" applyFont="1" applyBorder="1" applyAlignment="1" applyProtection="1">
      <alignment horizontal="center" vertical="center" shrinkToFit="1"/>
      <protection locked="0"/>
    </xf>
    <xf numFmtId="0" fontId="39" fillId="0" borderId="126" xfId="0" applyFont="1" applyBorder="1" applyAlignment="1" applyProtection="1">
      <alignment horizontal="center" vertical="center" shrinkToFit="1"/>
      <protection locked="0"/>
    </xf>
    <xf numFmtId="0" fontId="30" fillId="38" borderId="81" xfId="0" applyFont="1" applyFill="1" applyBorder="1" applyAlignment="1" applyProtection="1">
      <alignment horizontal="center" vertical="center" wrapText="1"/>
      <protection locked="0"/>
    </xf>
    <xf numFmtId="0" fontId="30" fillId="38" borderId="65" xfId="0" applyFont="1" applyFill="1" applyBorder="1" applyAlignment="1" applyProtection="1">
      <alignment horizontal="center" vertical="center" wrapText="1"/>
      <protection locked="0"/>
    </xf>
    <xf numFmtId="0" fontId="30" fillId="38" borderId="82" xfId="0" applyFont="1" applyFill="1" applyBorder="1" applyAlignment="1" applyProtection="1">
      <alignment horizontal="center" vertical="center" wrapText="1"/>
      <protection locked="0"/>
    </xf>
    <xf numFmtId="0" fontId="39" fillId="0" borderId="45" xfId="0" applyFont="1" applyBorder="1" applyAlignment="1" applyProtection="1">
      <alignment horizontal="center" vertical="center" shrinkToFit="1"/>
      <protection locked="0"/>
    </xf>
    <xf numFmtId="0" fontId="39" fillId="0" borderId="45" xfId="0" applyFont="1" applyBorder="1" applyAlignment="1" applyProtection="1">
      <alignment horizontal="center" vertical="center"/>
      <protection locked="0"/>
    </xf>
    <xf numFmtId="0" fontId="39" fillId="0" borderId="123" xfId="0" applyFont="1" applyBorder="1" applyAlignment="1" applyProtection="1">
      <alignment horizontal="center" vertical="center"/>
      <protection locked="0"/>
    </xf>
    <xf numFmtId="0" fontId="39" fillId="0" borderId="67" xfId="0" applyFont="1" applyBorder="1" applyAlignment="1" applyProtection="1">
      <alignment horizontal="center" vertical="center"/>
      <protection locked="0"/>
    </xf>
    <xf numFmtId="0" fontId="39" fillId="0" borderId="124" xfId="0" applyFont="1" applyBorder="1" applyAlignment="1" applyProtection="1">
      <alignment horizontal="center" vertical="center"/>
      <protection locked="0"/>
    </xf>
    <xf numFmtId="0" fontId="39" fillId="0" borderId="125" xfId="0" applyFont="1" applyBorder="1" applyAlignment="1" applyProtection="1">
      <alignment horizontal="center" vertical="center"/>
      <protection locked="0"/>
    </xf>
    <xf numFmtId="0" fontId="39" fillId="0" borderId="68" xfId="0" applyFont="1" applyBorder="1" applyAlignment="1" applyProtection="1">
      <alignment horizontal="center" vertical="center"/>
      <protection locked="0"/>
    </xf>
    <xf numFmtId="0" fontId="39" fillId="0" borderId="126" xfId="0" applyFont="1" applyBorder="1" applyAlignment="1" applyProtection="1">
      <alignment horizontal="center" vertical="center"/>
      <protection locked="0"/>
    </xf>
    <xf numFmtId="0" fontId="39" fillId="0" borderId="23" xfId="0" applyFont="1" applyBorder="1" applyAlignment="1" applyProtection="1">
      <alignment horizontal="center" vertical="center" wrapText="1"/>
      <protection locked="0"/>
    </xf>
    <xf numFmtId="0" fontId="39" fillId="0" borderId="44" xfId="0" applyFont="1" applyBorder="1" applyAlignment="1" applyProtection="1">
      <alignment horizontal="center" vertical="center"/>
      <protection locked="0"/>
    </xf>
    <xf numFmtId="0" fontId="39" fillId="0" borderId="96" xfId="0" applyFont="1" applyBorder="1" applyAlignment="1" applyProtection="1">
      <alignment horizontal="center" vertical="center"/>
      <protection locked="0"/>
    </xf>
    <xf numFmtId="0" fontId="69" fillId="0" borderId="97" xfId="0" applyFont="1" applyBorder="1" applyAlignment="1" applyProtection="1">
      <alignment horizontal="center" vertical="center"/>
      <protection locked="0"/>
    </xf>
    <xf numFmtId="0" fontId="39" fillId="0" borderId="89" xfId="0" applyFont="1" applyBorder="1" applyAlignment="1" applyProtection="1">
      <alignment horizontal="center" vertical="top" wrapText="1"/>
      <protection locked="0"/>
    </xf>
    <xf numFmtId="0" fontId="39" fillId="0" borderId="45" xfId="0" applyFont="1" applyBorder="1" applyAlignment="1" applyProtection="1">
      <alignment horizontal="center" vertical="top" wrapText="1"/>
      <protection locked="0"/>
    </xf>
    <xf numFmtId="0" fontId="39" fillId="0" borderId="44" xfId="0" applyFont="1" applyBorder="1" applyAlignment="1" applyProtection="1">
      <alignment horizontal="center" vertical="center" shrinkToFit="1"/>
      <protection locked="0"/>
    </xf>
    <xf numFmtId="0" fontId="60" fillId="40" borderId="84" xfId="0" applyFont="1" applyFill="1" applyBorder="1" applyAlignment="1" applyProtection="1">
      <alignment horizontal="center" vertical="center"/>
      <protection locked="0"/>
    </xf>
    <xf numFmtId="0" fontId="39" fillId="0" borderId="16" xfId="0" applyFont="1" applyBorder="1" applyAlignment="1" applyProtection="1">
      <alignment horizontal="center" vertical="center" wrapText="1" shrinkToFit="1"/>
      <protection locked="0"/>
    </xf>
    <xf numFmtId="0" fontId="39" fillId="0" borderId="89" xfId="0" applyFont="1" applyBorder="1" applyAlignment="1" applyProtection="1">
      <alignment horizontal="center" vertical="center" shrinkToFit="1"/>
      <protection locked="0"/>
    </xf>
    <xf numFmtId="0" fontId="70" fillId="0" borderId="0" xfId="0" applyFont="1" applyAlignment="1" applyProtection="1">
      <alignment horizontal="center" vertical="center"/>
      <protection locked="0"/>
    </xf>
    <xf numFmtId="0" fontId="60" fillId="0" borderId="0" xfId="0" applyFont="1" applyAlignment="1" applyProtection="1">
      <alignment horizontal="left" vertical="center" wrapText="1"/>
      <protection locked="0"/>
    </xf>
    <xf numFmtId="0" fontId="30" fillId="0" borderId="35" xfId="0" applyFont="1" applyBorder="1" applyAlignment="1" applyProtection="1">
      <alignment horizontal="left" vertical="center"/>
      <protection locked="0"/>
    </xf>
    <xf numFmtId="0" fontId="48" fillId="0" borderId="12" xfId="0" applyFont="1" applyBorder="1" applyAlignment="1" applyProtection="1">
      <alignment horizontal="left" vertical="center"/>
      <protection locked="0"/>
    </xf>
    <xf numFmtId="0" fontId="31" fillId="0" borderId="12" xfId="0" applyFont="1" applyBorder="1" applyAlignment="1" applyProtection="1">
      <alignment horizontal="left" vertical="center"/>
      <protection locked="0"/>
    </xf>
    <xf numFmtId="164" fontId="40" fillId="24" borderId="12" xfId="0" applyNumberFormat="1" applyFont="1" applyFill="1" applyBorder="1" applyAlignment="1">
      <alignment horizontal="center" vertical="center"/>
    </xf>
    <xf numFmtId="0" fontId="40" fillId="34" borderId="12" xfId="0" applyFont="1" applyFill="1" applyBorder="1" applyAlignment="1">
      <alignment horizontal="center" vertical="center"/>
    </xf>
    <xf numFmtId="164" fontId="40" fillId="27" borderId="12" xfId="0" applyNumberFormat="1" applyFont="1" applyFill="1" applyBorder="1" applyAlignment="1">
      <alignment horizontal="center" vertical="center"/>
    </xf>
    <xf numFmtId="0" fontId="29" fillId="0" borderId="12"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29" fillId="27" borderId="12" xfId="0" applyFont="1" applyFill="1" applyBorder="1" applyAlignment="1" applyProtection="1">
      <alignment horizontal="center" vertical="center" shrinkToFit="1"/>
      <protection locked="0"/>
    </xf>
    <xf numFmtId="14" fontId="0" fillId="0" borderId="12" xfId="0" applyNumberFormat="1" applyBorder="1" applyAlignment="1" applyProtection="1">
      <alignment horizontal="left" vertical="center"/>
      <protection locked="0"/>
    </xf>
    <xf numFmtId="0" fontId="29" fillId="30" borderId="12" xfId="0" applyFont="1" applyFill="1" applyBorder="1" applyAlignment="1" applyProtection="1">
      <alignment horizontal="center" vertical="center"/>
      <protection locked="0"/>
    </xf>
    <xf numFmtId="164" fontId="40" fillId="30" borderId="12" xfId="0" applyNumberFormat="1" applyFont="1" applyFill="1" applyBorder="1" applyAlignment="1">
      <alignment horizontal="center" vertical="center"/>
    </xf>
    <xf numFmtId="0" fontId="29" fillId="24" borderId="12" xfId="0" applyFont="1" applyFill="1" applyBorder="1" applyAlignment="1" applyProtection="1">
      <alignment horizontal="center" vertical="center" shrinkToFit="1"/>
      <protection locked="0"/>
    </xf>
    <xf numFmtId="0" fontId="29" fillId="34" borderId="12" xfId="0" applyFont="1" applyFill="1" applyBorder="1" applyAlignment="1" applyProtection="1">
      <alignment horizontal="center" vertical="center"/>
      <protection locked="0"/>
    </xf>
    <xf numFmtId="0" fontId="31" fillId="0" borderId="117" xfId="0" applyFont="1" applyBorder="1" applyAlignment="1" applyProtection="1">
      <alignment horizontal="left" vertical="center" shrinkToFit="1"/>
      <protection locked="0"/>
    </xf>
    <xf numFmtId="0" fontId="31" fillId="0" borderId="12" xfId="0" applyFont="1" applyBorder="1" applyAlignment="1" applyProtection="1">
      <alignment horizontal="left" vertical="center" shrinkToFit="1"/>
      <protection locked="0"/>
    </xf>
    <xf numFmtId="0" fontId="39" fillId="0" borderId="95" xfId="0" applyFont="1" applyBorder="1" applyAlignment="1" applyProtection="1">
      <alignment horizontal="center" vertical="top" wrapText="1"/>
      <protection locked="0"/>
    </xf>
    <xf numFmtId="0" fontId="39" fillId="0" borderId="21" xfId="0" applyFont="1" applyBorder="1" applyAlignment="1" applyProtection="1">
      <alignment horizontal="center" vertical="top" wrapText="1"/>
      <protection locked="0"/>
    </xf>
    <xf numFmtId="0" fontId="39" fillId="0" borderId="22" xfId="0" applyFont="1" applyBorder="1" applyAlignment="1" applyProtection="1">
      <alignment horizontal="center" vertical="top" wrapText="1"/>
      <protection locked="0"/>
    </xf>
    <xf numFmtId="0" fontId="39" fillId="0" borderId="30" xfId="0" applyFont="1" applyBorder="1" applyAlignment="1" applyProtection="1">
      <alignment horizontal="center" vertical="top" wrapText="1"/>
      <protection locked="0"/>
    </xf>
    <xf numFmtId="0" fontId="39" fillId="0" borderId="77" xfId="0" applyFont="1" applyBorder="1" applyAlignment="1" applyProtection="1">
      <alignment horizontal="center" vertical="center" wrapText="1"/>
      <protection locked="0"/>
    </xf>
    <xf numFmtId="0" fontId="39" fillId="0" borderId="45" xfId="0" applyFont="1" applyBorder="1" applyAlignment="1" applyProtection="1">
      <alignment horizontal="center" vertical="center" wrapText="1"/>
      <protection locked="0"/>
    </xf>
    <xf numFmtId="0" fontId="39" fillId="0" borderId="94" xfId="0" applyFont="1" applyBorder="1" applyAlignment="1" applyProtection="1">
      <alignment horizontal="center" vertical="top" wrapText="1"/>
      <protection locked="0"/>
    </xf>
    <xf numFmtId="0" fontId="39" fillId="0" borderId="18" xfId="0" applyFont="1" applyBorder="1" applyAlignment="1" applyProtection="1">
      <alignment horizontal="center" vertical="top" wrapText="1"/>
      <protection locked="0"/>
    </xf>
    <xf numFmtId="0" fontId="39" fillId="0" borderId="19" xfId="0" applyFont="1" applyBorder="1" applyAlignment="1" applyProtection="1">
      <alignment horizontal="center" vertical="top" wrapText="1"/>
      <protection locked="0"/>
    </xf>
    <xf numFmtId="0" fontId="39" fillId="0" borderId="29" xfId="0" applyFont="1" applyBorder="1" applyAlignment="1" applyProtection="1">
      <alignment horizontal="center" vertical="top" wrapText="1"/>
      <protection locked="0"/>
    </xf>
    <xf numFmtId="0" fontId="60" fillId="40" borderId="88" xfId="0" applyFont="1" applyFill="1" applyBorder="1" applyAlignment="1" applyProtection="1">
      <alignment horizontal="center" vertical="center"/>
      <protection locked="0"/>
    </xf>
    <xf numFmtId="0" fontId="60" fillId="39" borderId="88" xfId="0" applyFont="1" applyFill="1" applyBorder="1" applyAlignment="1" applyProtection="1">
      <alignment horizontal="center" vertical="center"/>
      <protection locked="0"/>
    </xf>
    <xf numFmtId="0" fontId="60" fillId="39" borderId="83" xfId="0" applyFont="1" applyFill="1" applyBorder="1" applyAlignment="1" applyProtection="1">
      <alignment horizontal="center" vertical="center"/>
      <protection locked="0"/>
    </xf>
    <xf numFmtId="0" fontId="60" fillId="39" borderId="92" xfId="0" applyFont="1" applyFill="1" applyBorder="1" applyAlignment="1" applyProtection="1">
      <alignment horizontal="center" vertical="center"/>
      <protection locked="0"/>
    </xf>
    <xf numFmtId="0" fontId="39" fillId="0" borderId="93" xfId="0" applyFont="1" applyBorder="1" applyAlignment="1" applyProtection="1">
      <alignment horizontal="center" vertical="top" wrapText="1"/>
      <protection locked="0"/>
    </xf>
    <xf numFmtId="0" fontId="39" fillId="0" borderId="16" xfId="0" applyFont="1" applyBorder="1" applyAlignment="1" applyProtection="1">
      <alignment horizontal="center" vertical="top" wrapText="1"/>
      <protection locked="0"/>
    </xf>
    <xf numFmtId="0" fontId="39" fillId="0" borderId="24" xfId="0" applyFont="1" applyBorder="1" applyAlignment="1" applyProtection="1">
      <alignment horizontal="center" vertical="top" wrapText="1"/>
      <protection locked="0"/>
    </xf>
    <xf numFmtId="0" fontId="39" fillId="0" borderId="28" xfId="0" applyFont="1" applyBorder="1" applyAlignment="1" applyProtection="1">
      <alignment horizontal="center" vertical="top" wrapText="1"/>
      <protection locked="0"/>
    </xf>
    <xf numFmtId="0" fontId="39" fillId="0" borderId="89" xfId="0" applyFont="1" applyBorder="1" applyAlignment="1" applyProtection="1">
      <alignment horizontal="center" vertical="center" wrapText="1"/>
      <protection locked="0"/>
    </xf>
    <xf numFmtId="0" fontId="39" fillId="0" borderId="77" xfId="0" applyFont="1" applyBorder="1" applyAlignment="1" applyProtection="1">
      <alignment horizontal="center" vertical="center"/>
      <protection locked="0"/>
    </xf>
    <xf numFmtId="0" fontId="60" fillId="34" borderId="118" xfId="0" applyFont="1" applyFill="1" applyBorder="1" applyAlignment="1" applyProtection="1">
      <alignment horizontal="center" vertical="center" wrapText="1"/>
      <protection locked="0"/>
    </xf>
    <xf numFmtId="0" fontId="60" fillId="34" borderId="119" xfId="0" applyFont="1" applyFill="1" applyBorder="1" applyAlignment="1" applyProtection="1">
      <alignment horizontal="center" vertical="center" wrapText="1"/>
      <protection locked="0"/>
    </xf>
    <xf numFmtId="0" fontId="60" fillId="34" borderId="120" xfId="0" applyFont="1" applyFill="1" applyBorder="1" applyAlignment="1" applyProtection="1">
      <alignment horizontal="center" vertical="center" wrapText="1"/>
      <protection locked="0"/>
    </xf>
    <xf numFmtId="0" fontId="39" fillId="0" borderId="121" xfId="0" applyFont="1" applyBorder="1" applyAlignment="1" applyProtection="1">
      <alignment horizontal="center" vertical="center" shrinkToFit="1"/>
      <protection locked="0"/>
    </xf>
    <xf numFmtId="0" fontId="39" fillId="0" borderId="66" xfId="0" applyFont="1" applyBorder="1" applyAlignment="1" applyProtection="1">
      <alignment horizontal="center" vertical="center" shrinkToFit="1"/>
      <protection locked="0"/>
    </xf>
    <xf numFmtId="0" fontId="39" fillId="0" borderId="122" xfId="0" applyFont="1" applyBorder="1" applyAlignment="1" applyProtection="1">
      <alignment horizontal="center" vertical="center" shrinkToFit="1"/>
      <protection locked="0"/>
    </xf>
    <xf numFmtId="0" fontId="39" fillId="0" borderId="77" xfId="0" applyFont="1" applyBorder="1" applyAlignment="1" applyProtection="1">
      <alignment horizontal="center" vertical="top" wrapText="1"/>
      <protection locked="0"/>
    </xf>
    <xf numFmtId="0" fontId="39" fillId="0" borderId="89" xfId="0" applyFont="1" applyBorder="1" applyAlignment="1" applyProtection="1">
      <alignment horizontal="center" vertical="center"/>
      <protection locked="0"/>
    </xf>
    <xf numFmtId="0" fontId="60" fillId="34" borderId="88" xfId="0" applyFont="1" applyFill="1" applyBorder="1" applyAlignment="1" applyProtection="1">
      <alignment horizontal="center" vertical="center" wrapText="1" shrinkToFit="1"/>
      <protection locked="0"/>
    </xf>
    <xf numFmtId="0" fontId="62" fillId="0" borderId="12" xfId="0" applyFont="1" applyBorder="1" applyAlignment="1" applyProtection="1">
      <alignment horizontal="center" vertical="center" wrapText="1"/>
      <protection locked="0"/>
    </xf>
    <xf numFmtId="0" fontId="95" fillId="0" borderId="12" xfId="0" applyFont="1" applyBorder="1" applyAlignment="1">
      <alignment horizontal="center" vertical="center"/>
    </xf>
    <xf numFmtId="0" fontId="32" fillId="0" borderId="102" xfId="0" applyFont="1" applyBorder="1" applyAlignment="1" applyProtection="1">
      <alignment horizontal="center" vertical="center" wrapText="1"/>
      <protection locked="0"/>
    </xf>
    <xf numFmtId="0" fontId="32" fillId="0" borderId="103" xfId="0" applyFont="1" applyBorder="1" applyAlignment="1" applyProtection="1">
      <alignment horizontal="center" vertical="center" wrapText="1"/>
      <protection locked="0"/>
    </xf>
    <xf numFmtId="0" fontId="32" fillId="0" borderId="104" xfId="0" applyFont="1" applyBorder="1" applyAlignment="1" applyProtection="1">
      <alignment horizontal="center" vertical="center" wrapText="1"/>
      <protection locked="0"/>
    </xf>
    <xf numFmtId="0" fontId="32" fillId="0" borderId="105"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106" xfId="0" applyFont="1" applyBorder="1" applyAlignment="1" applyProtection="1">
      <alignment horizontal="center" vertical="center" wrapText="1"/>
      <protection locked="0"/>
    </xf>
    <xf numFmtId="0" fontId="32" fillId="0" borderId="107" xfId="0" applyFont="1" applyBorder="1" applyAlignment="1" applyProtection="1">
      <alignment horizontal="center" vertical="center" wrapText="1"/>
      <protection locked="0"/>
    </xf>
    <xf numFmtId="0" fontId="32" fillId="0" borderId="76" xfId="0" applyFont="1" applyBorder="1" applyAlignment="1" applyProtection="1">
      <alignment horizontal="center" vertical="center" wrapText="1"/>
      <protection locked="0"/>
    </xf>
    <xf numFmtId="0" fontId="32" fillId="0" borderId="108" xfId="0" applyFont="1" applyBorder="1" applyAlignment="1" applyProtection="1">
      <alignment horizontal="center" vertical="center" wrapText="1"/>
      <protection locked="0"/>
    </xf>
    <xf numFmtId="0" fontId="66" fillId="37" borderId="69" xfId="0" applyFont="1" applyFill="1" applyBorder="1" applyAlignment="1" applyProtection="1">
      <alignment horizontal="center" vertical="center"/>
      <protection locked="0"/>
    </xf>
    <xf numFmtId="0" fontId="66" fillId="37" borderId="70" xfId="0" applyFont="1" applyFill="1" applyBorder="1" applyAlignment="1" applyProtection="1">
      <alignment horizontal="center" vertical="center"/>
      <protection locked="0"/>
    </xf>
    <xf numFmtId="0" fontId="66" fillId="37" borderId="71" xfId="0" applyFont="1" applyFill="1" applyBorder="1" applyAlignment="1" applyProtection="1">
      <alignment horizontal="center" vertical="center"/>
      <protection locked="0"/>
    </xf>
    <xf numFmtId="0" fontId="66" fillId="0" borderId="26" xfId="0" applyFont="1" applyBorder="1" applyAlignment="1">
      <alignment horizontal="center" vertical="center"/>
    </xf>
    <xf numFmtId="0" fontId="66" fillId="0" borderId="35" xfId="0" applyFont="1" applyBorder="1" applyAlignment="1">
      <alignment horizontal="center" vertical="center"/>
    </xf>
    <xf numFmtId="0" fontId="66" fillId="0" borderId="27" xfId="0" applyFont="1" applyBorder="1" applyAlignment="1">
      <alignment horizontal="center" vertical="center"/>
    </xf>
    <xf numFmtId="0" fontId="66" fillId="0" borderId="58" xfId="0" applyFont="1" applyBorder="1" applyAlignment="1">
      <alignment horizontal="center" vertical="center"/>
    </xf>
    <xf numFmtId="0" fontId="66" fillId="0" borderId="76" xfId="0" applyFont="1" applyBorder="1" applyAlignment="1">
      <alignment horizontal="center" vertical="center"/>
    </xf>
    <xf numFmtId="0" fontId="66" fillId="0" borderId="112" xfId="0" applyFont="1" applyBorder="1" applyAlignment="1">
      <alignment horizontal="center" vertical="center"/>
    </xf>
    <xf numFmtId="0" fontId="65" fillId="0" borderId="26" xfId="0" applyFont="1" applyBorder="1" applyAlignment="1" applyProtection="1">
      <alignment horizontal="center" vertical="center"/>
      <protection locked="0"/>
    </xf>
    <xf numFmtId="0" fontId="65" fillId="0" borderId="35" xfId="0" applyFont="1" applyBorder="1" applyAlignment="1" applyProtection="1">
      <alignment horizontal="center" vertical="center"/>
      <protection locked="0"/>
    </xf>
    <xf numFmtId="0" fontId="39" fillId="0" borderId="77" xfId="0" applyFont="1" applyBorder="1" applyAlignment="1" applyProtection="1">
      <alignment horizontal="center" vertical="center" shrinkToFit="1"/>
      <protection locked="0"/>
    </xf>
    <xf numFmtId="0" fontId="30" fillId="35" borderId="79" xfId="0" applyFont="1" applyFill="1" applyBorder="1" applyAlignment="1" applyProtection="1">
      <alignment horizontal="center" vertical="center" wrapText="1" shrinkToFit="1"/>
      <protection locked="0"/>
    </xf>
    <xf numFmtId="0" fontId="30" fillId="35" borderId="81" xfId="0" applyFont="1" applyFill="1" applyBorder="1" applyAlignment="1" applyProtection="1">
      <alignment horizontal="center" vertical="center" wrapText="1" shrinkToFit="1"/>
      <protection locked="0"/>
    </xf>
    <xf numFmtId="0" fontId="30" fillId="35" borderId="80" xfId="0" applyFont="1" applyFill="1" applyBorder="1" applyAlignment="1" applyProtection="1">
      <alignment horizontal="center" vertical="center" wrapText="1" shrinkToFit="1"/>
      <protection locked="0"/>
    </xf>
    <xf numFmtId="0" fontId="30" fillId="37" borderId="49" xfId="0" applyFont="1" applyFill="1" applyBorder="1" applyAlignment="1" applyProtection="1">
      <alignment horizontal="center" vertical="center" wrapText="1"/>
      <protection locked="0"/>
    </xf>
    <xf numFmtId="0" fontId="30" fillId="37" borderId="51" xfId="0" applyFont="1" applyFill="1" applyBorder="1" applyAlignment="1" applyProtection="1">
      <alignment horizontal="center" vertical="center" wrapText="1"/>
      <protection locked="0"/>
    </xf>
    <xf numFmtId="0" fontId="91" fillId="0" borderId="26" xfId="34" applyFont="1" applyBorder="1" applyAlignment="1" applyProtection="1">
      <alignment horizontal="center" vertical="center"/>
      <protection locked="0"/>
    </xf>
    <xf numFmtId="0" fontId="92" fillId="0" borderId="35" xfId="0" applyFont="1" applyBorder="1" applyAlignment="1" applyProtection="1">
      <alignment horizontal="center" vertical="center"/>
      <protection locked="0"/>
    </xf>
    <xf numFmtId="0" fontId="92" fillId="0" borderId="36" xfId="0" applyFont="1" applyBorder="1" applyAlignment="1" applyProtection="1">
      <alignment horizontal="center" vertical="center"/>
      <protection locked="0"/>
    </xf>
    <xf numFmtId="0" fontId="90" fillId="0" borderId="26" xfId="0" applyFont="1" applyBorder="1" applyAlignment="1" applyProtection="1">
      <alignment horizontal="center" vertical="center"/>
      <protection locked="0"/>
    </xf>
    <xf numFmtId="0" fontId="90" fillId="0" borderId="35" xfId="0" applyFont="1" applyBorder="1" applyAlignment="1" applyProtection="1">
      <alignment horizontal="center" vertical="center"/>
      <protection locked="0"/>
    </xf>
    <xf numFmtId="0" fontId="90" fillId="0" borderId="36" xfId="0" applyFont="1" applyBorder="1" applyAlignment="1" applyProtection="1">
      <alignment horizontal="center" vertical="center"/>
      <protection locked="0"/>
    </xf>
    <xf numFmtId="0" fontId="93" fillId="32" borderId="27" xfId="0" applyFont="1" applyFill="1" applyBorder="1" applyAlignment="1" applyProtection="1">
      <alignment horizontal="center" vertical="center"/>
      <protection locked="0"/>
    </xf>
    <xf numFmtId="0" fontId="93" fillId="32" borderId="58" xfId="0" applyFont="1" applyFill="1" applyBorder="1" applyAlignment="1" applyProtection="1">
      <alignment horizontal="center" vertical="center"/>
      <protection locked="0"/>
    </xf>
    <xf numFmtId="0" fontId="93" fillId="32" borderId="33" xfId="0" applyFont="1" applyFill="1" applyBorder="1" applyAlignment="1" applyProtection="1">
      <alignment horizontal="center" vertical="center"/>
      <protection locked="0"/>
    </xf>
    <xf numFmtId="0" fontId="93" fillId="32" borderId="34" xfId="0" applyFont="1" applyFill="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69" fillId="0" borderId="26" xfId="0" applyFont="1" applyBorder="1" applyAlignment="1" applyProtection="1">
      <alignment horizontal="center" vertical="center"/>
      <protection locked="0"/>
    </xf>
    <xf numFmtId="0" fontId="69" fillId="0" borderId="35" xfId="0" applyFont="1" applyBorder="1" applyAlignment="1" applyProtection="1">
      <alignment horizontal="center" vertical="center"/>
      <protection locked="0"/>
    </xf>
    <xf numFmtId="0" fontId="69" fillId="0" borderId="36" xfId="0" applyFont="1" applyBorder="1" applyAlignment="1" applyProtection="1">
      <alignment horizontal="center" vertical="center"/>
      <protection locked="0"/>
    </xf>
    <xf numFmtId="0" fontId="89" fillId="0" borderId="59" xfId="0" applyFont="1" applyBorder="1" applyAlignment="1" applyProtection="1">
      <alignment horizontal="center" vertical="center"/>
      <protection locked="0"/>
    </xf>
    <xf numFmtId="0" fontId="89" fillId="0" borderId="27" xfId="0" applyFont="1" applyBorder="1" applyAlignment="1" applyProtection="1">
      <alignment horizontal="center" vertical="center"/>
      <protection locked="0"/>
    </xf>
    <xf numFmtId="0" fontId="89" fillId="0" borderId="58" xfId="0" applyFont="1" applyBorder="1" applyAlignment="1" applyProtection="1">
      <alignment horizontal="center" vertical="center"/>
      <protection locked="0"/>
    </xf>
    <xf numFmtId="0" fontId="89" fillId="0" borderId="47" xfId="0" applyFont="1" applyBorder="1" applyAlignment="1" applyProtection="1">
      <alignment horizontal="center" vertical="center"/>
      <protection locked="0"/>
    </xf>
    <xf numFmtId="0" fontId="89" fillId="0" borderId="33" xfId="0" applyFont="1" applyBorder="1" applyAlignment="1" applyProtection="1">
      <alignment horizontal="center" vertical="center"/>
      <protection locked="0"/>
    </xf>
    <xf numFmtId="0" fontId="89" fillId="0" borderId="34" xfId="0" applyFont="1" applyBorder="1" applyAlignment="1" applyProtection="1">
      <alignment horizontal="center" vertical="center"/>
      <protection locked="0"/>
    </xf>
    <xf numFmtId="0" fontId="60" fillId="34" borderId="88" xfId="0" applyFont="1" applyFill="1" applyBorder="1" applyAlignment="1" applyProtection="1">
      <alignment horizontal="center" vertical="center"/>
      <protection locked="0"/>
    </xf>
    <xf numFmtId="0" fontId="30" fillId="36" borderId="49" xfId="0" applyFont="1" applyFill="1" applyBorder="1" applyAlignment="1" applyProtection="1">
      <alignment horizontal="center" vertical="center"/>
      <protection locked="0"/>
    </xf>
    <xf numFmtId="0" fontId="30" fillId="36" borderId="51" xfId="0" applyFont="1" applyFill="1" applyBorder="1" applyAlignment="1" applyProtection="1">
      <alignment horizontal="center" vertical="center"/>
      <protection locked="0"/>
    </xf>
    <xf numFmtId="0" fontId="39" fillId="0" borderId="60" xfId="0" applyFont="1" applyBorder="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0" fillId="38" borderId="79" xfId="0" applyFont="1" applyFill="1" applyBorder="1" applyAlignment="1" applyProtection="1">
      <alignment horizontal="center" vertical="center" wrapText="1"/>
      <protection locked="0"/>
    </xf>
    <xf numFmtId="0" fontId="39" fillId="0" borderId="38" xfId="0" applyFont="1" applyBorder="1" applyAlignment="1" applyProtection="1">
      <alignment horizontal="center" vertical="center" wrapText="1"/>
      <protection locked="0"/>
    </xf>
    <xf numFmtId="0" fontId="20" fillId="27" borderId="0" xfId="0" applyFont="1" applyFill="1" applyAlignment="1">
      <alignment horizontal="center"/>
    </xf>
    <xf numFmtId="0" fontId="0" fillId="26" borderId="0" xfId="0" applyFill="1" applyAlignment="1">
      <alignment horizontal="center"/>
    </xf>
    <xf numFmtId="0" fontId="0" fillId="26" borderId="12" xfId="0" applyFill="1" applyBorder="1" applyAlignment="1">
      <alignment horizontal="center" wrapText="1"/>
    </xf>
    <xf numFmtId="0" fontId="77" fillId="0" borderId="0" xfId="0" applyFont="1" applyAlignment="1" applyProtection="1">
      <alignment horizontal="center"/>
      <protection locked="0"/>
    </xf>
    <xf numFmtId="0" fontId="48" fillId="0" borderId="0" xfId="0" applyFont="1" applyAlignment="1" applyProtection="1">
      <alignment horizontal="center"/>
      <protection locked="0"/>
    </xf>
    <xf numFmtId="0" fontId="44" fillId="0" borderId="0" xfId="0" applyFont="1" applyAlignment="1" applyProtection="1">
      <alignment horizontal="right" vertical="center"/>
      <protection locked="0"/>
    </xf>
    <xf numFmtId="0" fontId="50" fillId="0" borderId="12" xfId="0" applyFont="1" applyBorder="1" applyAlignment="1">
      <alignment horizontal="left"/>
    </xf>
    <xf numFmtId="0" fontId="59" fillId="0" borderId="0" xfId="0" applyFont="1" applyAlignment="1" applyProtection="1">
      <alignment horizontal="center" vertical="center" wrapText="1"/>
      <protection locked="0"/>
    </xf>
    <xf numFmtId="14" fontId="50" fillId="0" borderId="12" xfId="0" applyNumberFormat="1" applyFont="1" applyBorder="1" applyAlignment="1">
      <alignment horizontal="left"/>
    </xf>
    <xf numFmtId="0" fontId="49" fillId="25" borderId="12" xfId="0" applyFont="1" applyFill="1" applyBorder="1" applyAlignment="1" applyProtection="1">
      <alignment horizontal="center" vertical="center" wrapText="1"/>
      <protection locked="0"/>
    </xf>
    <xf numFmtId="0" fontId="19" fillId="25" borderId="12" xfId="34" applyFill="1" applyBorder="1" applyAlignment="1">
      <alignment horizontal="center" vertical="center"/>
      <protection locked="0"/>
    </xf>
    <xf numFmtId="0" fontId="52" fillId="25" borderId="12" xfId="0" applyFont="1" applyFill="1" applyBorder="1" applyAlignment="1" applyProtection="1">
      <alignment horizontal="center" vertical="center" wrapText="1"/>
      <protection locked="0"/>
    </xf>
    <xf numFmtId="0" fontId="52" fillId="25" borderId="12" xfId="0" applyFont="1" applyFill="1" applyBorder="1" applyAlignment="1" applyProtection="1">
      <alignment horizontal="center" vertical="center"/>
      <protection locked="0"/>
    </xf>
    <xf numFmtId="0" fontId="60" fillId="43" borderId="61" xfId="0" applyFont="1" applyFill="1" applyBorder="1" applyAlignment="1" applyProtection="1">
      <alignment horizontal="center" vertical="center" wrapText="1"/>
      <protection locked="0"/>
    </xf>
    <xf numFmtId="0" fontId="60" fillId="43" borderId="62" xfId="0" applyFont="1" applyFill="1" applyBorder="1" applyAlignment="1" applyProtection="1">
      <alignment horizontal="center" vertical="center" wrapText="1"/>
      <protection locked="0"/>
    </xf>
    <xf numFmtId="0" fontId="60" fillId="43" borderId="26" xfId="0" applyFont="1" applyFill="1" applyBorder="1" applyAlignment="1" applyProtection="1">
      <alignment horizontal="center" vertical="center" wrapText="1"/>
      <protection locked="0"/>
    </xf>
    <xf numFmtId="0" fontId="60" fillId="43" borderId="35" xfId="0" applyFont="1" applyFill="1" applyBorder="1" applyAlignment="1" applyProtection="1">
      <alignment horizontal="center" vertical="center" wrapText="1"/>
      <protection locked="0"/>
    </xf>
    <xf numFmtId="0" fontId="60" fillId="43" borderId="36" xfId="0" applyFont="1" applyFill="1" applyBorder="1" applyAlignment="1" applyProtection="1">
      <alignment horizontal="center" vertical="center" wrapText="1"/>
      <protection locked="0"/>
    </xf>
    <xf numFmtId="0" fontId="60" fillId="43" borderId="12" xfId="0" applyFont="1" applyFill="1" applyBorder="1" applyAlignment="1" applyProtection="1">
      <alignment horizontal="center" vertical="center" wrapText="1"/>
      <protection locked="0"/>
    </xf>
    <xf numFmtId="0" fontId="60" fillId="43" borderId="59" xfId="0" applyFont="1" applyFill="1" applyBorder="1" applyAlignment="1" applyProtection="1">
      <alignment horizontal="center" vertical="center" wrapText="1"/>
      <protection locked="0"/>
    </xf>
    <xf numFmtId="0" fontId="60" fillId="43" borderId="47" xfId="0" applyFont="1" applyFill="1" applyBorder="1" applyAlignment="1" applyProtection="1">
      <alignment horizontal="center" vertical="center" wrapText="1"/>
      <protection locked="0"/>
    </xf>
    <xf numFmtId="0" fontId="81" fillId="0" borderId="0" xfId="0" applyFont="1" applyAlignment="1" applyProtection="1">
      <alignment horizontal="center"/>
      <protection locked="0"/>
    </xf>
    <xf numFmtId="0" fontId="60" fillId="40" borderId="12" xfId="0" applyFont="1" applyFill="1" applyBorder="1" applyAlignment="1" applyProtection="1">
      <alignment horizontal="center" vertical="center" wrapText="1"/>
      <protection locked="0"/>
    </xf>
    <xf numFmtId="0" fontId="63" fillId="40" borderId="12" xfId="0" applyFont="1" applyFill="1" applyBorder="1" applyAlignment="1" applyProtection="1">
      <alignment horizontal="center" vertical="center" wrapText="1"/>
      <protection locked="0"/>
    </xf>
    <xf numFmtId="0" fontId="60" fillId="40" borderId="61" xfId="0" applyFont="1" applyFill="1" applyBorder="1" applyAlignment="1" applyProtection="1">
      <alignment horizontal="center" vertical="center" wrapText="1"/>
      <protection locked="0"/>
    </xf>
    <xf numFmtId="0" fontId="60" fillId="40" borderId="62" xfId="0" applyFont="1" applyFill="1" applyBorder="1" applyAlignment="1" applyProtection="1">
      <alignment horizontal="center" vertical="center" wrapText="1"/>
      <protection locked="0"/>
    </xf>
    <xf numFmtId="0" fontId="60" fillId="40" borderId="59" xfId="0" applyFont="1" applyFill="1" applyBorder="1" applyAlignment="1" applyProtection="1">
      <alignment horizontal="center" vertical="center" wrapText="1"/>
      <protection locked="0"/>
    </xf>
    <xf numFmtId="0" fontId="60" fillId="40" borderId="47" xfId="0" applyFont="1" applyFill="1" applyBorder="1" applyAlignment="1" applyProtection="1">
      <alignment horizontal="center" vertical="center" wrapText="1"/>
      <protection locked="0"/>
    </xf>
  </cellXfs>
  <cellStyles count="11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1 - 20%" xfId="50" xr:uid="{B6FD0DB2-153F-4227-8EA5-2EF711936E83}"/>
    <cellStyle name="Accent1 - 40%" xfId="51" xr:uid="{3A25B25B-6452-45EE-AE93-AC5FB33C24BD}"/>
    <cellStyle name="Accent1 - 60%" xfId="52" xr:uid="{B39CF5E0-059F-43F3-A0E8-680979726570}"/>
    <cellStyle name="Accent1 2" xfId="49" xr:uid="{0CC40A3B-DFBE-4028-B984-2751DCDDBED2}"/>
    <cellStyle name="Accent2" xfId="20" xr:uid="{00000000-0005-0000-0000-000013000000}"/>
    <cellStyle name="Accent2 - 20%" xfId="54" xr:uid="{AEAC97AC-44BE-428C-8F7E-121277D9ADD1}"/>
    <cellStyle name="Accent2 - 40%" xfId="55" xr:uid="{E87DE11C-0641-4AA8-8B5D-7F23D6520476}"/>
    <cellStyle name="Accent2 - 60%" xfId="56" xr:uid="{37960A28-A2CE-43BA-AE90-639046A7CB44}"/>
    <cellStyle name="Accent2 2" xfId="53" xr:uid="{B69F2F9C-6009-4AB5-9D32-2F98DF7C1AEC}"/>
    <cellStyle name="Accent3" xfId="21" xr:uid="{00000000-0005-0000-0000-000014000000}"/>
    <cellStyle name="Accent3 - 20%" xfId="58" xr:uid="{AC12FD9E-94A1-49B2-8E37-A98808FF1AB4}"/>
    <cellStyle name="Accent3 - 40%" xfId="59" xr:uid="{8DA08AD6-DDE6-4FE2-A60F-7C0CF4D2ACF5}"/>
    <cellStyle name="Accent3 - 60%" xfId="60" xr:uid="{DD9276B6-6DE6-4306-9138-6F4FF4246026}"/>
    <cellStyle name="Accent3 2" xfId="57" xr:uid="{8072F9E6-406C-4A07-8E3A-CD6BAB858063}"/>
    <cellStyle name="Accent4" xfId="22" xr:uid="{00000000-0005-0000-0000-000015000000}"/>
    <cellStyle name="Accent4 - 20%" xfId="62" xr:uid="{D2D4D14F-1BB9-4765-8310-123C5B6A46A2}"/>
    <cellStyle name="Accent4 - 40%" xfId="63" xr:uid="{33DAAB8C-FA7D-4623-BFAE-2B97D7439D0E}"/>
    <cellStyle name="Accent4 - 60%" xfId="64" xr:uid="{F683BD74-CC34-42CB-9A88-F4C24777F7E7}"/>
    <cellStyle name="Accent4 2" xfId="61" xr:uid="{4FE30660-74A6-4638-A5BB-B2537AC43B24}"/>
    <cellStyle name="Accent5" xfId="23" xr:uid="{00000000-0005-0000-0000-000016000000}"/>
    <cellStyle name="Accent5 - 20%" xfId="66" xr:uid="{9B7CACA6-751E-4F05-9CA3-63BC308DCFA8}"/>
    <cellStyle name="Accent5 - 40%" xfId="67" xr:uid="{4D7C729A-8F29-4BD0-91C3-8F1B01C8281F}"/>
    <cellStyle name="Accent5 - 60%" xfId="68" xr:uid="{A5DD51C1-A02A-447C-97C6-723AC4BEF27A}"/>
    <cellStyle name="Accent5 2" xfId="65" xr:uid="{D43DFB69-26EA-43D7-A507-02130F0A2082}"/>
    <cellStyle name="Accent6" xfId="24" xr:uid="{00000000-0005-0000-0000-000017000000}"/>
    <cellStyle name="Accent6 - 20%" xfId="70" xr:uid="{A652CE41-A44B-4283-A9B9-CB15D0A82A3E}"/>
    <cellStyle name="Accent6 - 40%" xfId="71" xr:uid="{706E4BA3-8D63-4967-B9F3-8FE4B1CA7146}"/>
    <cellStyle name="Accent6 - 60%" xfId="72" xr:uid="{74F5F840-20D5-44FE-B74B-00848FFFE93E}"/>
    <cellStyle name="Accent6 2" xfId="69" xr:uid="{89C642A1-9523-4FB4-98C3-BF1CD911D7F7}"/>
    <cellStyle name="Bad" xfId="25" xr:uid="{00000000-0005-0000-0000-000018000000}"/>
    <cellStyle name="Bad 2" xfId="74" xr:uid="{EF68E474-74BE-4D85-ABDC-0A27086B5392}"/>
    <cellStyle name="Bad 3" xfId="73" xr:uid="{2053BC5F-ABB6-4127-B5AC-5DB3D03E16CE}"/>
    <cellStyle name="Calculation" xfId="26" xr:uid="{00000000-0005-0000-0000-000019000000}"/>
    <cellStyle name="Calculation 2" xfId="75" xr:uid="{E756BE45-274C-4A56-BFF9-39E790A5759D}"/>
    <cellStyle name="Check Cell" xfId="27" xr:uid="{00000000-0005-0000-0000-00001A000000}"/>
    <cellStyle name="Check Cell 2" xfId="76" xr:uid="{87DF7106-F545-43D4-9F1F-09E1D3AF4621}"/>
    <cellStyle name="Comma [0] 2" xfId="112" xr:uid="{D47632DD-3F1A-4BB8-808C-774B45A97782}"/>
    <cellStyle name="Comma [0] 3" xfId="48" xr:uid="{6B94EA77-C431-41F5-A6BF-5F42E299C15D}"/>
    <cellStyle name="Comma 2" xfId="77" xr:uid="{00784566-C4EF-4F8E-84D6-41C9967FF6F8}"/>
    <cellStyle name="Comma 2 2" xfId="113" xr:uid="{0193DB54-5C9C-4B9C-82D5-21A9A7EBE132}"/>
    <cellStyle name="Comma 3" xfId="111" xr:uid="{C474AE4D-8599-4536-A77B-4AC8F216D0E0}"/>
    <cellStyle name="Comma 4" xfId="118" xr:uid="{A56A14E2-9995-40F6-BFD3-7CB2638D830D}"/>
    <cellStyle name="Comma 5" xfId="47" xr:uid="{81B0FC8E-CBC8-4876-88D5-B43FF5C4F9F3}"/>
    <cellStyle name="Currency [0] 2" xfId="110" xr:uid="{66A9B597-6593-4844-8953-F7B63AE8DF23}"/>
    <cellStyle name="Currency [0] 3" xfId="46" xr:uid="{F4F417AC-C981-4293-B583-7E131DC91355}"/>
    <cellStyle name="Currency 2" xfId="109" xr:uid="{66379C65-8358-4EE7-940B-226513018BF7}"/>
    <cellStyle name="Currency 3" xfId="114" xr:uid="{F6055EA3-531C-4DE9-9081-B2CE8A632D08}"/>
    <cellStyle name="Currency 4" xfId="117" xr:uid="{C2F93908-85D4-4960-AC08-CD978B92D3ED}"/>
    <cellStyle name="Currency 5" xfId="45" xr:uid="{D4497743-3643-485C-8979-562EC7827A8A}"/>
    <cellStyle name="Emphasis 1" xfId="78" xr:uid="{BE010E3E-577E-43AA-BFF0-2F11996868BC}"/>
    <cellStyle name="Emphasis 2" xfId="79" xr:uid="{351798F4-0870-4EB7-B94B-6B837A1D691C}"/>
    <cellStyle name="Emphasis 3" xfId="80" xr:uid="{7E0BE8DB-4E39-444C-88F3-03BE8BC9710A}"/>
    <cellStyle name="Explanatory Text" xfId="28" xr:uid="{00000000-0005-0000-0000-00001B000000}"/>
    <cellStyle name="Followed Hyperlink 2" xfId="106" xr:uid="{AE47D34A-3050-4140-AE7E-68886DD0D891}"/>
    <cellStyle name="Good" xfId="29" xr:uid="{00000000-0005-0000-0000-00001C000000}"/>
    <cellStyle name="Good 2" xfId="81" xr:uid="{730C4C94-9229-4E5D-807F-BEF4213738FA}"/>
    <cellStyle name="Heading 1" xfId="30" xr:uid="{00000000-0005-0000-0000-00001D000000}"/>
    <cellStyle name="Heading 1 2" xfId="82" xr:uid="{E5B361A9-4EF1-4EAF-AB4B-39E951AC5682}"/>
    <cellStyle name="Heading 2" xfId="31" xr:uid="{00000000-0005-0000-0000-00001E000000}"/>
    <cellStyle name="Heading 2 2" xfId="83" xr:uid="{B47C9E05-AC7A-4A56-9A11-BAC88E33DC7A}"/>
    <cellStyle name="Heading 3" xfId="32" xr:uid="{00000000-0005-0000-0000-00001F000000}"/>
    <cellStyle name="Heading 3 2" xfId="84" xr:uid="{A9C4B35F-5ED4-48B1-9E5E-A552CAFFDEB9}"/>
    <cellStyle name="Heading 4" xfId="33" xr:uid="{00000000-0005-0000-0000-000020000000}"/>
    <cellStyle name="Heading 4 2" xfId="85" xr:uid="{9544CCF7-23B4-4F95-989D-30489F07F827}"/>
    <cellStyle name="Hyperlink" xfId="34" builtinId="8"/>
    <cellStyle name="Hyperlink 2" xfId="86" xr:uid="{D8BED6DB-4ECF-400A-BFEC-D93C54C2B886}"/>
    <cellStyle name="Input" xfId="35" xr:uid="{00000000-0005-0000-0000-000022000000}"/>
    <cellStyle name="Input 2" xfId="88" xr:uid="{8E0305E9-7121-4680-A1D4-1DF6A892B8BC}"/>
    <cellStyle name="Input 3" xfId="87" xr:uid="{6A55270F-19D0-4700-A2B8-155438608289}"/>
    <cellStyle name="Linked Cell" xfId="36" xr:uid="{00000000-0005-0000-0000-000023000000}"/>
    <cellStyle name="Linked Cell 2" xfId="89" xr:uid="{653F291B-B17B-4A93-9894-5C94AF8AA081}"/>
    <cellStyle name="Neutral" xfId="37" xr:uid="{00000000-0005-0000-0000-000024000000}"/>
    <cellStyle name="Neutral 2" xfId="90" xr:uid="{CBF70455-5FA2-4D4B-8C45-F3EC74864FE6}"/>
    <cellStyle name="Normal" xfId="0" builtinId="0"/>
    <cellStyle name="Normal 2" xfId="38" xr:uid="{00000000-0005-0000-0000-000026000000}"/>
    <cellStyle name="Normal 2 2" xfId="92" xr:uid="{D763204A-7AF4-4838-A33F-C6099E8DD479}"/>
    <cellStyle name="Normal 2 3" xfId="93" xr:uid="{C08A7D71-332C-438C-9023-731C99799658}"/>
    <cellStyle name="Normal 2 4" xfId="91" xr:uid="{F64B68F2-8C98-4776-8376-68DF3787ECA1}"/>
    <cellStyle name="Normal 2_Components" xfId="94" xr:uid="{10ACA9CB-EE63-4E1E-94B7-5ADD31B2A31E}"/>
    <cellStyle name="Normal 3" xfId="95" xr:uid="{A6712FC8-FD98-4F34-9E66-BD48C7D7F040}"/>
    <cellStyle name="Normal 3 2" xfId="96" xr:uid="{D179CC48-D417-4AA2-AC54-7DF11B517D35}"/>
    <cellStyle name="Normal 3 3" xfId="115" xr:uid="{E028EFF5-0DB9-446A-97B8-BCACC4B1F47F}"/>
    <cellStyle name="Normal 3_Components" xfId="97" xr:uid="{5DD68E5B-C71E-4A90-89D7-F4C6CC846F65}"/>
    <cellStyle name="Normal 4" xfId="98" xr:uid="{AECE8773-38B0-447A-B5A8-44A382879733}"/>
    <cellStyle name="Normal 5" xfId="99" xr:uid="{4EBF76D1-2959-400E-B481-FF8D71C33097}"/>
    <cellStyle name="Normal 6" xfId="100" xr:uid="{5085C334-197D-4A94-98E4-2933D6361DC9}"/>
    <cellStyle name="Normal 7" xfId="107" xr:uid="{03540514-9C09-4171-8A7D-94EE5CC95E84}"/>
    <cellStyle name="Normal 8" xfId="108" xr:uid="{9B7FB785-36CF-41D3-BB73-4968D5EEEF16}"/>
    <cellStyle name="Note" xfId="39" xr:uid="{00000000-0005-0000-0000-000027000000}"/>
    <cellStyle name="Note 2" xfId="101" xr:uid="{4EA28344-D437-4156-9A97-5197EA245AEB}"/>
    <cellStyle name="Output" xfId="40" xr:uid="{00000000-0005-0000-0000-000028000000}"/>
    <cellStyle name="Output 2" xfId="102" xr:uid="{224CE5C8-0AF7-42FD-B370-09BAFD8F21E1}"/>
    <cellStyle name="Percent 2" xfId="116" xr:uid="{4A7F6D66-CF15-4FD8-86AA-8D942BF6B4DA}"/>
    <cellStyle name="Percent 3" xfId="44" xr:uid="{3FA8AA37-2E02-445C-B737-B045CC539D10}"/>
    <cellStyle name="Sheet Title" xfId="103" xr:uid="{7591F95F-E5BC-4067-BA92-EF93F4924FAB}"/>
    <cellStyle name="Title" xfId="41" xr:uid="{00000000-0005-0000-0000-000029000000}"/>
    <cellStyle name="Total" xfId="42" xr:uid="{00000000-0005-0000-0000-00002A000000}"/>
    <cellStyle name="Total 2" xfId="104" xr:uid="{56BB6D5E-08C4-44DA-8228-9E4FA612837C}"/>
    <cellStyle name="Warning Text" xfId="43" xr:uid="{00000000-0005-0000-0000-00002B000000}"/>
    <cellStyle name="Warning Text 2" xfId="105" xr:uid="{3E48BCE3-2383-4FCB-99D3-853AA6666046}"/>
  </cellStyles>
  <dxfs count="144">
    <dxf>
      <fill>
        <patternFill>
          <bgColor rgb="FFFF0000"/>
        </patternFill>
      </fill>
    </dxf>
    <dxf>
      <font>
        <color rgb="FFFF0000"/>
      </font>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1704975</xdr:colOff>
      <xdr:row>0</xdr:row>
      <xdr:rowOff>114300</xdr:rowOff>
    </xdr:from>
    <xdr:to>
      <xdr:col>7</xdr:col>
      <xdr:colOff>551233</xdr:colOff>
      <xdr:row>0</xdr:row>
      <xdr:rowOff>752475</xdr:rowOff>
    </xdr:to>
    <xdr:pic>
      <xdr:nvPicPr>
        <xdr:cNvPr id="3" name="Picture 1" descr="Pacific Logo.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4175" y="114300"/>
          <a:ext cx="4085008" cy="638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44824</xdr:colOff>
      <xdr:row>0</xdr:row>
      <xdr:rowOff>44823</xdr:rowOff>
    </xdr:from>
    <xdr:to>
      <xdr:col>4</xdr:col>
      <xdr:colOff>244449</xdr:colOff>
      <xdr:row>1</xdr:row>
      <xdr:rowOff>210751</xdr:rowOff>
    </xdr:to>
    <xdr:pic>
      <xdr:nvPicPr>
        <xdr:cNvPr id="3" name="Picture 1" descr="Pacific Logo.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4824" y="44823"/>
          <a:ext cx="3214007" cy="502104"/>
        </a:xfrm>
        <a:prstGeom prst="rect">
          <a:avLst/>
        </a:prstGeom>
        <a:noFill/>
        <a:ln w="9525">
          <a:noFill/>
          <a:miter lim="800000"/>
          <a:headEnd/>
          <a:tailEnd/>
        </a:ln>
      </xdr:spPr>
    </xdr:pic>
    <xdr:clientData/>
  </xdr:twoCellAnchor>
  <xdr:twoCellAnchor editAs="oneCell">
    <xdr:from>
      <xdr:col>6</xdr:col>
      <xdr:colOff>717179</xdr:colOff>
      <xdr:row>0</xdr:row>
      <xdr:rowOff>33617</xdr:rowOff>
    </xdr:from>
    <xdr:to>
      <xdr:col>7</xdr:col>
      <xdr:colOff>607852</xdr:colOff>
      <xdr:row>1</xdr:row>
      <xdr:rowOff>0</xdr:rowOff>
    </xdr:to>
    <xdr:pic>
      <xdr:nvPicPr>
        <xdr:cNvPr id="4" name="Picture 2" descr="D:\Shared\Deirdre\Logos\OPC logo.jp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09767" y="33617"/>
          <a:ext cx="719909" cy="30255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44824</xdr:colOff>
      <xdr:row>0</xdr:row>
      <xdr:rowOff>56030</xdr:rowOff>
    </xdr:from>
    <xdr:to>
      <xdr:col>4</xdr:col>
      <xdr:colOff>31537</xdr:colOff>
      <xdr:row>1</xdr:row>
      <xdr:rowOff>221958</xdr:rowOff>
    </xdr:to>
    <xdr:pic>
      <xdr:nvPicPr>
        <xdr:cNvPr id="3" name="Picture 1" descr="Pacific Logo.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4824" y="56030"/>
          <a:ext cx="3214007" cy="502104"/>
        </a:xfrm>
        <a:prstGeom prst="rect">
          <a:avLst/>
        </a:prstGeom>
        <a:noFill/>
        <a:ln w="9525">
          <a:noFill/>
          <a:miter lim="800000"/>
          <a:headEnd/>
          <a:tailEnd/>
        </a:ln>
      </xdr:spPr>
    </xdr:pic>
    <xdr:clientData/>
  </xdr:twoCellAnchor>
  <xdr:twoCellAnchor editAs="oneCell">
    <xdr:from>
      <xdr:col>6</xdr:col>
      <xdr:colOff>614355</xdr:colOff>
      <xdr:row>0</xdr:row>
      <xdr:rowOff>35530</xdr:rowOff>
    </xdr:from>
    <xdr:to>
      <xdr:col>7</xdr:col>
      <xdr:colOff>505028</xdr:colOff>
      <xdr:row>0</xdr:row>
      <xdr:rowOff>314740</xdr:rowOff>
    </xdr:to>
    <xdr:pic>
      <xdr:nvPicPr>
        <xdr:cNvPr id="4" name="Picture 2" descr="D:\Shared\Deirdre\Logos\OPC logo.jp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528138" y="35530"/>
          <a:ext cx="718934" cy="27921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23942</xdr:colOff>
      <xdr:row>0</xdr:row>
      <xdr:rowOff>35133</xdr:rowOff>
    </xdr:from>
    <xdr:to>
      <xdr:col>7</xdr:col>
      <xdr:colOff>743851</xdr:colOff>
      <xdr:row>0</xdr:row>
      <xdr:rowOff>307731</xdr:rowOff>
    </xdr:to>
    <xdr:pic>
      <xdr:nvPicPr>
        <xdr:cNvPr id="3" name="Picture 2" descr="D:\Shared\Deirdre\Logos\OPC 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0230" y="35133"/>
          <a:ext cx="719909" cy="272598"/>
        </a:xfrm>
        <a:prstGeom prst="rect">
          <a:avLst/>
        </a:prstGeom>
        <a:noFill/>
        <a:ln w="9525">
          <a:noFill/>
          <a:miter lim="800000"/>
          <a:headEnd/>
          <a:tailEnd/>
        </a:ln>
      </xdr:spPr>
    </xdr:pic>
    <xdr:clientData/>
  </xdr:twoCellAnchor>
  <xdr:twoCellAnchor editAs="oneCell">
    <xdr:from>
      <xdr:col>0</xdr:col>
      <xdr:colOff>44823</xdr:colOff>
      <xdr:row>0</xdr:row>
      <xdr:rowOff>44824</xdr:rowOff>
    </xdr:from>
    <xdr:to>
      <xdr:col>3</xdr:col>
      <xdr:colOff>1297801</xdr:colOff>
      <xdr:row>1</xdr:row>
      <xdr:rowOff>210752</xdr:rowOff>
    </xdr:to>
    <xdr:pic>
      <xdr:nvPicPr>
        <xdr:cNvPr id="4" name="Picture 1" descr="Pacific Logo.jp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44823" y="44824"/>
          <a:ext cx="3214007" cy="502104"/>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170090</xdr:colOff>
      <xdr:row>0</xdr:row>
      <xdr:rowOff>22679</xdr:rowOff>
    </xdr:from>
    <xdr:to>
      <xdr:col>7</xdr:col>
      <xdr:colOff>889999</xdr:colOff>
      <xdr:row>0</xdr:row>
      <xdr:rowOff>325238</xdr:rowOff>
    </xdr:to>
    <xdr:pic>
      <xdr:nvPicPr>
        <xdr:cNvPr id="3" name="Picture 2" descr="D:\Shared\Deirdre\Logos\OPC logo.jp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134554" y="22679"/>
          <a:ext cx="719909" cy="302559"/>
        </a:xfrm>
        <a:prstGeom prst="rect">
          <a:avLst/>
        </a:prstGeom>
        <a:noFill/>
        <a:ln w="9525">
          <a:noFill/>
          <a:miter lim="800000"/>
          <a:headEnd/>
          <a:tailEnd/>
        </a:ln>
      </xdr:spPr>
    </xdr:pic>
    <xdr:clientData/>
  </xdr:twoCellAnchor>
  <xdr:twoCellAnchor editAs="oneCell">
    <xdr:from>
      <xdr:col>0</xdr:col>
      <xdr:colOff>34018</xdr:colOff>
      <xdr:row>0</xdr:row>
      <xdr:rowOff>45357</xdr:rowOff>
    </xdr:from>
    <xdr:to>
      <xdr:col>4</xdr:col>
      <xdr:colOff>560614</xdr:colOff>
      <xdr:row>1</xdr:row>
      <xdr:rowOff>207282</xdr:rowOff>
    </xdr:to>
    <xdr:pic>
      <xdr:nvPicPr>
        <xdr:cNvPr id="4" name="Picture 1" descr="Pacific Logo.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34018" y="45357"/>
          <a:ext cx="3214007" cy="50210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44824</xdr:colOff>
      <xdr:row>0</xdr:row>
      <xdr:rowOff>44823</xdr:rowOff>
    </xdr:from>
    <xdr:to>
      <xdr:col>3</xdr:col>
      <xdr:colOff>1488302</xdr:colOff>
      <xdr:row>1</xdr:row>
      <xdr:rowOff>210751</xdr:rowOff>
    </xdr:to>
    <xdr:pic>
      <xdr:nvPicPr>
        <xdr:cNvPr id="2" name="Picture 1" descr="Pacific Logo.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824" y="44823"/>
          <a:ext cx="3219050" cy="499303"/>
        </a:xfrm>
        <a:prstGeom prst="rect">
          <a:avLst/>
        </a:prstGeom>
        <a:noFill/>
        <a:ln w="9525">
          <a:noFill/>
          <a:miter lim="800000"/>
          <a:headEnd/>
          <a:tailEnd/>
        </a:ln>
      </xdr:spPr>
    </xdr:pic>
    <xdr:clientData/>
  </xdr:twoCellAnchor>
  <xdr:twoCellAnchor editAs="oneCell">
    <xdr:from>
      <xdr:col>4</xdr:col>
      <xdr:colOff>1850654</xdr:colOff>
      <xdr:row>0</xdr:row>
      <xdr:rowOff>24092</xdr:rowOff>
    </xdr:from>
    <xdr:to>
      <xdr:col>5</xdr:col>
      <xdr:colOff>503078</xdr:colOff>
      <xdr:row>0</xdr:row>
      <xdr:rowOff>323850</xdr:rowOff>
    </xdr:to>
    <xdr:pic>
      <xdr:nvPicPr>
        <xdr:cNvPr id="3" name="Picture 2" descr="D:\Shared\Deirdre\Logos\OPC logo.jp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03529" y="24092"/>
          <a:ext cx="719349" cy="299758"/>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595443</xdr:colOff>
      <xdr:row>0</xdr:row>
      <xdr:rowOff>23927</xdr:rowOff>
    </xdr:from>
    <xdr:to>
      <xdr:col>8</xdr:col>
      <xdr:colOff>486117</xdr:colOff>
      <xdr:row>0</xdr:row>
      <xdr:rowOff>296525</xdr:rowOff>
    </xdr:to>
    <xdr:pic>
      <xdr:nvPicPr>
        <xdr:cNvPr id="2" name="Picture 1" descr="D:\Shared\Deirdre\Logos\OPC logo.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1590" y="23927"/>
          <a:ext cx="719909" cy="272598"/>
        </a:xfrm>
        <a:prstGeom prst="rect">
          <a:avLst/>
        </a:prstGeom>
        <a:noFill/>
        <a:ln w="9525">
          <a:noFill/>
          <a:miter lim="800000"/>
          <a:headEnd/>
          <a:tailEnd/>
        </a:ln>
      </xdr:spPr>
    </xdr:pic>
    <xdr:clientData/>
  </xdr:twoCellAnchor>
  <xdr:twoCellAnchor editAs="oneCell">
    <xdr:from>
      <xdr:col>0</xdr:col>
      <xdr:colOff>44823</xdr:colOff>
      <xdr:row>0</xdr:row>
      <xdr:rowOff>44824</xdr:rowOff>
    </xdr:from>
    <xdr:to>
      <xdr:col>3</xdr:col>
      <xdr:colOff>1297801</xdr:colOff>
      <xdr:row>1</xdr:row>
      <xdr:rowOff>210752</xdr:rowOff>
    </xdr:to>
    <xdr:pic>
      <xdr:nvPicPr>
        <xdr:cNvPr id="3" name="Picture 1" descr="Pacific Logo.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44823" y="44824"/>
          <a:ext cx="3205603" cy="499303"/>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248060</xdr:colOff>
      <xdr:row>0</xdr:row>
      <xdr:rowOff>35132</xdr:rowOff>
    </xdr:from>
    <xdr:to>
      <xdr:col>7</xdr:col>
      <xdr:colOff>105116</xdr:colOff>
      <xdr:row>0</xdr:row>
      <xdr:rowOff>307730</xdr:rowOff>
    </xdr:to>
    <xdr:pic>
      <xdr:nvPicPr>
        <xdr:cNvPr id="2" name="Picture 1" descr="D:\Shared\Deirdre\Logos\OPC logo.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06010" y="35132"/>
          <a:ext cx="723831" cy="272598"/>
        </a:xfrm>
        <a:prstGeom prst="rect">
          <a:avLst/>
        </a:prstGeom>
        <a:noFill/>
        <a:ln w="9525">
          <a:noFill/>
          <a:miter lim="800000"/>
          <a:headEnd/>
          <a:tailEnd/>
        </a:ln>
      </xdr:spPr>
    </xdr:pic>
    <xdr:clientData/>
  </xdr:twoCellAnchor>
  <xdr:twoCellAnchor editAs="oneCell">
    <xdr:from>
      <xdr:col>0</xdr:col>
      <xdr:colOff>44823</xdr:colOff>
      <xdr:row>0</xdr:row>
      <xdr:rowOff>44824</xdr:rowOff>
    </xdr:from>
    <xdr:to>
      <xdr:col>3</xdr:col>
      <xdr:colOff>1297801</xdr:colOff>
      <xdr:row>1</xdr:row>
      <xdr:rowOff>210752</xdr:rowOff>
    </xdr:to>
    <xdr:pic>
      <xdr:nvPicPr>
        <xdr:cNvPr id="3" name="Picture 1" descr="Pacific Logo.jp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44823" y="44824"/>
          <a:ext cx="3205603" cy="499303"/>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123264</xdr:colOff>
      <xdr:row>0</xdr:row>
      <xdr:rowOff>52081</xdr:rowOff>
    </xdr:from>
    <xdr:to>
      <xdr:col>6</xdr:col>
      <xdr:colOff>899862</xdr:colOff>
      <xdr:row>1</xdr:row>
      <xdr:rowOff>212913</xdr:rowOff>
    </xdr:to>
    <xdr:grpSp>
      <xdr:nvGrpSpPr>
        <xdr:cNvPr id="2" name="Group 1">
          <a:extLst>
            <a:ext uri="{FF2B5EF4-FFF2-40B4-BE49-F238E27FC236}">
              <a16:creationId xmlns:a16="http://schemas.microsoft.com/office/drawing/2014/main" id="{AD7F5BA5-CA8D-40F4-926F-2805C9EC7804}"/>
            </a:ext>
          </a:extLst>
        </xdr:cNvPr>
        <xdr:cNvGrpSpPr/>
      </xdr:nvGrpSpPr>
      <xdr:grpSpPr>
        <a:xfrm>
          <a:off x="123264" y="52081"/>
          <a:ext cx="5146892" cy="508214"/>
          <a:chOff x="100852" y="52081"/>
          <a:chExt cx="5146892" cy="508214"/>
        </a:xfrm>
      </xdr:grpSpPr>
      <xdr:pic>
        <xdr:nvPicPr>
          <xdr:cNvPr id="5" name="Picture 4">
            <a:extLst>
              <a:ext uri="{FF2B5EF4-FFF2-40B4-BE49-F238E27FC236}">
                <a16:creationId xmlns:a16="http://schemas.microsoft.com/office/drawing/2014/main" id="{E0253F0B-483E-4021-9D20-570F61C4488D}"/>
              </a:ext>
            </a:extLst>
          </xdr:cNvPr>
          <xdr:cNvPicPr>
            <a:picLocks noChangeAspect="1"/>
          </xdr:cNvPicPr>
        </xdr:nvPicPr>
        <xdr:blipFill>
          <a:blip xmlns:r="http://schemas.openxmlformats.org/officeDocument/2006/relationships" r:embed="rId1"/>
          <a:stretch>
            <a:fillRect/>
          </a:stretch>
        </xdr:blipFill>
        <xdr:spPr>
          <a:xfrm>
            <a:off x="4108308" y="121330"/>
            <a:ext cx="1139436" cy="394139"/>
          </a:xfrm>
          <a:prstGeom prst="rect">
            <a:avLst/>
          </a:prstGeom>
        </xdr:spPr>
      </xdr:pic>
      <xdr:pic>
        <xdr:nvPicPr>
          <xdr:cNvPr id="7" name="Picture 6">
            <a:extLst>
              <a:ext uri="{FF2B5EF4-FFF2-40B4-BE49-F238E27FC236}">
                <a16:creationId xmlns:a16="http://schemas.microsoft.com/office/drawing/2014/main" id="{DECB1B28-FAE8-4D61-82E4-8424003A17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8889" y="52081"/>
            <a:ext cx="1163040" cy="508214"/>
          </a:xfrm>
          <a:prstGeom prst="rect">
            <a:avLst/>
          </a:prstGeom>
        </xdr:spPr>
      </xdr:pic>
      <xdr:pic>
        <xdr:nvPicPr>
          <xdr:cNvPr id="3" name="Picture 2">
            <a:extLst>
              <a:ext uri="{FF2B5EF4-FFF2-40B4-BE49-F238E27FC236}">
                <a16:creationId xmlns:a16="http://schemas.microsoft.com/office/drawing/2014/main" id="{C5608056-E6B4-4753-B04A-F068D1153E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0852" y="145677"/>
            <a:ext cx="2108379" cy="358588"/>
          </a:xfrm>
          <a:prstGeom prst="rect">
            <a:avLst/>
          </a:prstGeom>
        </xdr:spPr>
      </xdr:pic>
    </xdr:grp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0</xdr:col>
      <xdr:colOff>123264</xdr:colOff>
      <xdr:row>0</xdr:row>
      <xdr:rowOff>52081</xdr:rowOff>
    </xdr:from>
    <xdr:to>
      <xdr:col>6</xdr:col>
      <xdr:colOff>899862</xdr:colOff>
      <xdr:row>1</xdr:row>
      <xdr:rowOff>212913</xdr:rowOff>
    </xdr:to>
    <xdr:grpSp>
      <xdr:nvGrpSpPr>
        <xdr:cNvPr id="2" name="Group 1">
          <a:extLst>
            <a:ext uri="{FF2B5EF4-FFF2-40B4-BE49-F238E27FC236}">
              <a16:creationId xmlns:a16="http://schemas.microsoft.com/office/drawing/2014/main" id="{AE8E0F45-EF81-4889-8529-3604F0F471DB}"/>
            </a:ext>
          </a:extLst>
        </xdr:cNvPr>
        <xdr:cNvGrpSpPr/>
      </xdr:nvGrpSpPr>
      <xdr:grpSpPr>
        <a:xfrm>
          <a:off x="123264" y="52081"/>
          <a:ext cx="5146892" cy="508214"/>
          <a:chOff x="100852" y="52081"/>
          <a:chExt cx="5146892" cy="508214"/>
        </a:xfrm>
      </xdr:grpSpPr>
      <xdr:pic>
        <xdr:nvPicPr>
          <xdr:cNvPr id="3" name="Picture 2">
            <a:extLst>
              <a:ext uri="{FF2B5EF4-FFF2-40B4-BE49-F238E27FC236}">
                <a16:creationId xmlns:a16="http://schemas.microsoft.com/office/drawing/2014/main" id="{137AFFA4-647F-40D6-87E7-B5FF02175B91}"/>
              </a:ext>
            </a:extLst>
          </xdr:cNvPr>
          <xdr:cNvPicPr>
            <a:picLocks noChangeAspect="1"/>
          </xdr:cNvPicPr>
        </xdr:nvPicPr>
        <xdr:blipFill>
          <a:blip xmlns:r="http://schemas.openxmlformats.org/officeDocument/2006/relationships" r:embed="rId1"/>
          <a:stretch>
            <a:fillRect/>
          </a:stretch>
        </xdr:blipFill>
        <xdr:spPr>
          <a:xfrm>
            <a:off x="4108308" y="121330"/>
            <a:ext cx="1139436" cy="394139"/>
          </a:xfrm>
          <a:prstGeom prst="rect">
            <a:avLst/>
          </a:prstGeom>
        </xdr:spPr>
      </xdr:pic>
      <xdr:pic>
        <xdr:nvPicPr>
          <xdr:cNvPr id="4" name="Picture 3">
            <a:extLst>
              <a:ext uri="{FF2B5EF4-FFF2-40B4-BE49-F238E27FC236}">
                <a16:creationId xmlns:a16="http://schemas.microsoft.com/office/drawing/2014/main" id="{32F84BD9-79BD-490B-8819-5AF2FB872C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8889" y="52081"/>
            <a:ext cx="1163040" cy="508214"/>
          </a:xfrm>
          <a:prstGeom prst="rect">
            <a:avLst/>
          </a:prstGeom>
        </xdr:spPr>
      </xdr:pic>
      <xdr:pic>
        <xdr:nvPicPr>
          <xdr:cNvPr id="5" name="Picture 4">
            <a:extLst>
              <a:ext uri="{FF2B5EF4-FFF2-40B4-BE49-F238E27FC236}">
                <a16:creationId xmlns:a16="http://schemas.microsoft.com/office/drawing/2014/main" id="{734F4837-F324-434A-A59D-E77CFF4ED8A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0852" y="145677"/>
            <a:ext cx="2108379" cy="358588"/>
          </a:xfrm>
          <a:prstGeom prst="rect">
            <a:avLst/>
          </a:prstGeom>
        </xdr:spPr>
      </xdr:pic>
    </xdr:grpSp>
    <xdr:clientData fLock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3</xdr:col>
      <xdr:colOff>308882</xdr:colOff>
      <xdr:row>2</xdr:row>
      <xdr:rowOff>44904</xdr:rowOff>
    </xdr:to>
    <xdr:pic>
      <xdr:nvPicPr>
        <xdr:cNvPr id="2" name="Picture 1" descr="Pacific Logo.jp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8575" y="38100"/>
          <a:ext cx="2109107" cy="330654"/>
        </a:xfrm>
        <a:prstGeom prst="rect">
          <a:avLst/>
        </a:prstGeom>
        <a:noFill/>
        <a:ln w="9525">
          <a:noFill/>
          <a:miter lim="800000"/>
          <a:headEnd/>
          <a:tailEnd/>
        </a:ln>
      </xdr:spPr>
    </xdr:pic>
    <xdr:clientData/>
  </xdr:twoCellAnchor>
  <xdr:twoCellAnchor editAs="oneCell">
    <xdr:from>
      <xdr:col>1</xdr:col>
      <xdr:colOff>1019174</xdr:colOff>
      <xdr:row>10</xdr:row>
      <xdr:rowOff>133349</xdr:rowOff>
    </xdr:from>
    <xdr:to>
      <xdr:col>7</xdr:col>
      <xdr:colOff>123687</xdr:colOff>
      <xdr:row>23</xdr:row>
      <xdr:rowOff>57149</xdr:rowOff>
    </xdr:to>
    <xdr:pic>
      <xdr:nvPicPr>
        <xdr:cNvPr id="3" name="Picture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19199" y="1752599"/>
          <a:ext cx="3533638" cy="2028825"/>
        </a:xfrm>
        <a:prstGeom prst="rect">
          <a:avLst/>
        </a:prstGeom>
        <a:noFill/>
        <a:ln w="1">
          <a:noFill/>
          <a:miter lim="800000"/>
          <a:headEnd/>
          <a:tailEnd type="none" w="med" len="med"/>
        </a:ln>
        <a:effec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261257</xdr:colOff>
      <xdr:row>2</xdr:row>
      <xdr:rowOff>35379</xdr:rowOff>
    </xdr:to>
    <xdr:pic>
      <xdr:nvPicPr>
        <xdr:cNvPr id="2" name="Picture 1" descr="Pacific Logo.jp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8100" y="28575"/>
          <a:ext cx="2051957" cy="330654"/>
        </a:xfrm>
        <a:prstGeom prst="rect">
          <a:avLst/>
        </a:prstGeom>
        <a:noFill/>
        <a:ln w="9525">
          <a:noFill/>
          <a:miter lim="800000"/>
          <a:headEnd/>
          <a:tailEnd/>
        </a:ln>
      </xdr:spPr>
    </xdr:pic>
    <xdr:clientData/>
  </xdr:twoCellAnchor>
  <xdr:twoCellAnchor editAs="oneCell">
    <xdr:from>
      <xdr:col>2</xdr:col>
      <xdr:colOff>76201</xdr:colOff>
      <xdr:row>10</xdr:row>
      <xdr:rowOff>95251</xdr:rowOff>
    </xdr:from>
    <xdr:to>
      <xdr:col>7</xdr:col>
      <xdr:colOff>323851</xdr:colOff>
      <xdr:row>23</xdr:row>
      <xdr:rowOff>64733</xdr:rowOff>
    </xdr:to>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5401" y="1714501"/>
          <a:ext cx="3790950" cy="2074507"/>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hyperlink" Target="mailto:shutterorders@pacificwholesale.com.au" TargetMode="External"/><Relationship Id="rId2" Type="http://schemas.openxmlformats.org/officeDocument/2006/relationships/hyperlink" Target="mailto:shuttersales@pacificwholesale.com.au" TargetMode="External"/><Relationship Id="rId1" Type="http://schemas.openxmlformats.org/officeDocument/2006/relationships/hyperlink" Target="mailto:support@pacificwholesale.com.au" TargetMode="External"/><Relationship Id="rId6" Type="http://schemas.openxmlformats.org/officeDocument/2006/relationships/printerSettings" Target="../printerSettings/printerSettings12.bin"/><Relationship Id="rId5" Type="http://schemas.openxmlformats.org/officeDocument/2006/relationships/hyperlink" Target="mailto:service@pacificwholesale.com.au" TargetMode="External"/><Relationship Id="rId4" Type="http://schemas.openxmlformats.org/officeDocument/2006/relationships/hyperlink" Target="mailto:shutterorders@pacificwholesale.com.au"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cmborders@pacificwholesale.com.au" TargetMode="External"/><Relationship Id="rId1" Type="http://schemas.openxmlformats.org/officeDocument/2006/relationships/hyperlink" Target="mailto:cmborders@pacificwholesale.com.au" TargetMode="External"/><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cmborders@pacificwholesale.com.au" TargetMode="External"/><Relationship Id="rId1" Type="http://schemas.openxmlformats.org/officeDocument/2006/relationships/hyperlink" Target="mailto:cmborders@pacificwholesale.com.au" TargetMode="External"/><Relationship Id="rId6" Type="http://schemas.openxmlformats.org/officeDocument/2006/relationships/comments" Target="../comments12.xml"/><Relationship Id="rId5" Type="http://schemas.openxmlformats.org/officeDocument/2006/relationships/vmlDrawing" Target="../drawings/vmlDrawing12.vml"/><Relationship Id="rId4"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tint="0.79998168889431442"/>
    <pageSetUpPr fitToPage="1"/>
  </sheetPr>
  <dimension ref="A1:D302"/>
  <sheetViews>
    <sheetView workbookViewId="0">
      <selection activeCell="B3" sqref="B3"/>
    </sheetView>
  </sheetViews>
  <sheetFormatPr defaultRowHeight="15"/>
  <cols>
    <col min="1" max="1" width="7.42578125" style="336" customWidth="1"/>
    <col min="2" max="2" width="44" style="112" customWidth="1"/>
    <col min="3" max="3" width="7.42578125" style="336" customWidth="1"/>
    <col min="4" max="4" width="81" style="112" customWidth="1"/>
    <col min="5" max="16384" width="9.140625" style="112"/>
  </cols>
  <sheetData>
    <row r="1" spans="1:4" ht="60" customHeight="1">
      <c r="A1" s="412" t="s">
        <v>1781</v>
      </c>
      <c r="B1" s="412"/>
      <c r="C1" s="412"/>
      <c r="D1" s="412"/>
    </row>
    <row r="2" spans="1:4" s="345" customFormat="1" ht="28.5" customHeight="1">
      <c r="A2" s="341" t="s">
        <v>1777</v>
      </c>
      <c r="B2" s="342" t="s">
        <v>1776</v>
      </c>
      <c r="C2" s="343" t="s">
        <v>1777</v>
      </c>
      <c r="D2" s="344" t="s">
        <v>1778</v>
      </c>
    </row>
    <row r="3" spans="1:4">
      <c r="A3" s="337">
        <v>1</v>
      </c>
      <c r="B3" s="338"/>
      <c r="C3" s="339">
        <v>1</v>
      </c>
      <c r="D3" s="340"/>
    </row>
    <row r="4" spans="1:4">
      <c r="A4" s="337">
        <v>2</v>
      </c>
      <c r="B4" s="338"/>
      <c r="C4" s="339">
        <v>2</v>
      </c>
      <c r="D4" s="340"/>
    </row>
    <row r="5" spans="1:4">
      <c r="A5" s="337">
        <v>3</v>
      </c>
      <c r="B5" s="338"/>
      <c r="C5" s="339">
        <v>3</v>
      </c>
      <c r="D5" s="340"/>
    </row>
    <row r="6" spans="1:4">
      <c r="A6" s="337">
        <v>4</v>
      </c>
      <c r="B6" s="338"/>
      <c r="C6" s="339">
        <v>4</v>
      </c>
      <c r="D6" s="340"/>
    </row>
    <row r="7" spans="1:4">
      <c r="A7" s="337">
        <v>5</v>
      </c>
      <c r="B7" s="338"/>
      <c r="C7" s="339">
        <v>5</v>
      </c>
      <c r="D7" s="340"/>
    </row>
    <row r="8" spans="1:4">
      <c r="A8" s="337">
        <v>6</v>
      </c>
      <c r="B8" s="338"/>
      <c r="C8" s="339">
        <v>6</v>
      </c>
      <c r="D8" s="340"/>
    </row>
    <row r="9" spans="1:4">
      <c r="A9" s="337">
        <v>7</v>
      </c>
      <c r="B9" s="338"/>
      <c r="C9" s="339">
        <v>7</v>
      </c>
      <c r="D9" s="340"/>
    </row>
    <row r="10" spans="1:4">
      <c r="A10" s="337">
        <v>8</v>
      </c>
      <c r="B10" s="338"/>
      <c r="C10" s="339">
        <v>8</v>
      </c>
      <c r="D10" s="340"/>
    </row>
    <row r="11" spans="1:4">
      <c r="A11" s="337">
        <v>9</v>
      </c>
      <c r="B11" s="338"/>
      <c r="C11" s="339">
        <v>9</v>
      </c>
      <c r="D11" s="340"/>
    </row>
    <row r="12" spans="1:4">
      <c r="A12" s="337">
        <v>10</v>
      </c>
      <c r="B12" s="338"/>
      <c r="C12" s="339">
        <v>10</v>
      </c>
      <c r="D12" s="340"/>
    </row>
    <row r="13" spans="1:4">
      <c r="A13" s="337">
        <v>11</v>
      </c>
      <c r="B13" s="338"/>
      <c r="C13" s="339">
        <v>11</v>
      </c>
      <c r="D13" s="340"/>
    </row>
    <row r="14" spans="1:4">
      <c r="A14" s="337">
        <v>12</v>
      </c>
      <c r="B14" s="338"/>
      <c r="C14" s="339">
        <v>12</v>
      </c>
      <c r="D14" s="340"/>
    </row>
    <row r="15" spans="1:4">
      <c r="A15" s="337">
        <v>13</v>
      </c>
      <c r="B15" s="338"/>
      <c r="C15" s="339">
        <v>13</v>
      </c>
      <c r="D15" s="340"/>
    </row>
    <row r="16" spans="1:4">
      <c r="A16" s="337">
        <v>14</v>
      </c>
      <c r="B16" s="338"/>
      <c r="C16" s="339">
        <v>14</v>
      </c>
      <c r="D16" s="340"/>
    </row>
    <row r="17" spans="1:4">
      <c r="A17" s="337">
        <v>15</v>
      </c>
      <c r="B17" s="338"/>
      <c r="C17" s="339">
        <v>15</v>
      </c>
      <c r="D17" s="340"/>
    </row>
    <row r="18" spans="1:4">
      <c r="A18" s="337">
        <v>16</v>
      </c>
      <c r="B18" s="338"/>
      <c r="C18" s="339">
        <v>16</v>
      </c>
      <c r="D18" s="340"/>
    </row>
    <row r="19" spans="1:4">
      <c r="A19" s="337">
        <v>17</v>
      </c>
      <c r="B19" s="338"/>
      <c r="C19" s="339">
        <v>17</v>
      </c>
      <c r="D19" s="340"/>
    </row>
    <row r="20" spans="1:4">
      <c r="A20" s="337">
        <v>18</v>
      </c>
      <c r="B20" s="338"/>
      <c r="C20" s="339">
        <v>18</v>
      </c>
      <c r="D20" s="340"/>
    </row>
    <row r="21" spans="1:4">
      <c r="A21" s="337">
        <v>19</v>
      </c>
      <c r="B21" s="338"/>
      <c r="C21" s="339">
        <v>19</v>
      </c>
      <c r="D21" s="340"/>
    </row>
    <row r="22" spans="1:4">
      <c r="A22" s="337">
        <v>20</v>
      </c>
      <c r="B22" s="338"/>
      <c r="C22" s="339">
        <v>20</v>
      </c>
      <c r="D22" s="340"/>
    </row>
    <row r="23" spans="1:4">
      <c r="A23" s="337">
        <v>21</v>
      </c>
      <c r="B23" s="338"/>
      <c r="C23" s="339">
        <v>21</v>
      </c>
      <c r="D23" s="340"/>
    </row>
    <row r="24" spans="1:4">
      <c r="A24" s="337">
        <v>22</v>
      </c>
      <c r="B24" s="338"/>
      <c r="C24" s="339">
        <v>22</v>
      </c>
      <c r="D24" s="340"/>
    </row>
    <row r="25" spans="1:4">
      <c r="A25" s="337">
        <v>23</v>
      </c>
      <c r="B25" s="338"/>
      <c r="C25" s="339">
        <v>23</v>
      </c>
      <c r="D25" s="340"/>
    </row>
    <row r="26" spans="1:4">
      <c r="A26" s="337">
        <v>24</v>
      </c>
      <c r="B26" s="338"/>
      <c r="C26" s="339">
        <v>24</v>
      </c>
      <c r="D26" s="340"/>
    </row>
    <row r="27" spans="1:4">
      <c r="A27" s="337">
        <v>25</v>
      </c>
      <c r="B27" s="338"/>
      <c r="C27" s="339">
        <v>25</v>
      </c>
      <c r="D27" s="340"/>
    </row>
    <row r="28" spans="1:4">
      <c r="A28" s="337">
        <v>26</v>
      </c>
      <c r="B28" s="338"/>
      <c r="C28" s="339">
        <v>26</v>
      </c>
      <c r="D28" s="340"/>
    </row>
    <row r="29" spans="1:4">
      <c r="A29" s="337">
        <v>27</v>
      </c>
      <c r="B29" s="338"/>
      <c r="C29" s="339">
        <v>27</v>
      </c>
      <c r="D29" s="340"/>
    </row>
    <row r="30" spans="1:4">
      <c r="A30" s="337">
        <v>28</v>
      </c>
      <c r="B30" s="338"/>
      <c r="C30" s="339">
        <v>28</v>
      </c>
      <c r="D30" s="340"/>
    </row>
    <row r="31" spans="1:4">
      <c r="A31" s="337">
        <v>29</v>
      </c>
      <c r="B31" s="338"/>
      <c r="C31" s="339">
        <v>29</v>
      </c>
      <c r="D31" s="340"/>
    </row>
    <row r="32" spans="1:4">
      <c r="A32" s="337">
        <v>30</v>
      </c>
      <c r="B32" s="338"/>
      <c r="C32" s="339">
        <v>30</v>
      </c>
      <c r="D32" s="340"/>
    </row>
    <row r="33" spans="1:4">
      <c r="A33" s="337">
        <v>31</v>
      </c>
      <c r="B33" s="338"/>
      <c r="C33" s="339">
        <v>31</v>
      </c>
      <c r="D33" s="340"/>
    </row>
    <row r="34" spans="1:4">
      <c r="A34" s="337">
        <v>32</v>
      </c>
      <c r="B34" s="338"/>
      <c r="C34" s="339">
        <v>32</v>
      </c>
      <c r="D34" s="340"/>
    </row>
    <row r="35" spans="1:4">
      <c r="A35" s="337">
        <v>33</v>
      </c>
      <c r="B35" s="338"/>
      <c r="C35" s="339">
        <v>33</v>
      </c>
      <c r="D35" s="340"/>
    </row>
    <row r="36" spans="1:4">
      <c r="A36" s="337">
        <v>34</v>
      </c>
      <c r="B36" s="338"/>
      <c r="C36" s="339">
        <v>34</v>
      </c>
      <c r="D36" s="340"/>
    </row>
    <row r="37" spans="1:4">
      <c r="A37" s="337">
        <v>35</v>
      </c>
      <c r="B37" s="338"/>
      <c r="C37" s="339">
        <v>35</v>
      </c>
      <c r="D37" s="340"/>
    </row>
    <row r="38" spans="1:4">
      <c r="A38" s="337">
        <v>36</v>
      </c>
      <c r="B38" s="338"/>
      <c r="C38" s="339">
        <v>36</v>
      </c>
      <c r="D38" s="340"/>
    </row>
    <row r="39" spans="1:4">
      <c r="A39" s="337">
        <v>37</v>
      </c>
      <c r="B39" s="338"/>
      <c r="C39" s="339">
        <v>37</v>
      </c>
      <c r="D39" s="340"/>
    </row>
    <row r="40" spans="1:4">
      <c r="A40" s="337">
        <v>38</v>
      </c>
      <c r="B40" s="338"/>
      <c r="C40" s="339">
        <v>38</v>
      </c>
      <c r="D40" s="340"/>
    </row>
    <row r="41" spans="1:4">
      <c r="A41" s="337">
        <v>39</v>
      </c>
      <c r="B41" s="338"/>
      <c r="C41" s="339">
        <v>39</v>
      </c>
      <c r="D41" s="340"/>
    </row>
    <row r="42" spans="1:4">
      <c r="A42" s="337">
        <v>40</v>
      </c>
      <c r="B42" s="338"/>
      <c r="C42" s="339">
        <v>40</v>
      </c>
      <c r="D42" s="340"/>
    </row>
    <row r="43" spans="1:4">
      <c r="A43" s="337">
        <v>41</v>
      </c>
      <c r="B43" s="338"/>
      <c r="C43" s="339">
        <v>41</v>
      </c>
      <c r="D43" s="340"/>
    </row>
    <row r="44" spans="1:4">
      <c r="A44" s="337">
        <v>42</v>
      </c>
      <c r="B44" s="338"/>
      <c r="C44" s="339">
        <v>42</v>
      </c>
      <c r="D44" s="340"/>
    </row>
    <row r="45" spans="1:4">
      <c r="A45" s="337">
        <v>43</v>
      </c>
      <c r="B45" s="338"/>
      <c r="C45" s="339">
        <v>43</v>
      </c>
      <c r="D45" s="340"/>
    </row>
    <row r="46" spans="1:4">
      <c r="A46" s="337">
        <v>44</v>
      </c>
      <c r="B46" s="338"/>
      <c r="C46" s="339">
        <v>44</v>
      </c>
      <c r="D46" s="340"/>
    </row>
    <row r="47" spans="1:4">
      <c r="A47" s="337">
        <v>45</v>
      </c>
      <c r="B47" s="338"/>
      <c r="C47" s="339">
        <v>45</v>
      </c>
      <c r="D47" s="340"/>
    </row>
    <row r="48" spans="1:4">
      <c r="A48" s="337">
        <v>46</v>
      </c>
      <c r="B48" s="338"/>
      <c r="C48" s="339">
        <v>46</v>
      </c>
      <c r="D48" s="340"/>
    </row>
    <row r="49" spans="1:4">
      <c r="A49" s="337">
        <v>47</v>
      </c>
      <c r="B49" s="338"/>
      <c r="C49" s="339">
        <v>47</v>
      </c>
      <c r="D49" s="340"/>
    </row>
    <row r="50" spans="1:4">
      <c r="A50" s="337">
        <v>48</v>
      </c>
      <c r="B50" s="338"/>
      <c r="C50" s="339">
        <v>48</v>
      </c>
      <c r="D50" s="340"/>
    </row>
    <row r="51" spans="1:4">
      <c r="A51" s="337">
        <v>49</v>
      </c>
      <c r="B51" s="338"/>
      <c r="C51" s="339">
        <v>49</v>
      </c>
      <c r="D51" s="340"/>
    </row>
    <row r="52" spans="1:4">
      <c r="A52" s="337">
        <v>50</v>
      </c>
      <c r="B52" s="338"/>
      <c r="C52" s="339">
        <v>50</v>
      </c>
      <c r="D52" s="340"/>
    </row>
    <row r="53" spans="1:4">
      <c r="A53" s="337">
        <v>51</v>
      </c>
      <c r="B53" s="338"/>
      <c r="C53" s="339">
        <v>51</v>
      </c>
      <c r="D53" s="340"/>
    </row>
    <row r="54" spans="1:4">
      <c r="A54" s="337">
        <v>52</v>
      </c>
      <c r="B54" s="338"/>
      <c r="C54" s="339">
        <v>52</v>
      </c>
      <c r="D54" s="340"/>
    </row>
    <row r="55" spans="1:4">
      <c r="A55" s="337">
        <v>53</v>
      </c>
      <c r="B55" s="338"/>
      <c r="C55" s="339">
        <v>53</v>
      </c>
      <c r="D55" s="340"/>
    </row>
    <row r="56" spans="1:4">
      <c r="A56" s="337">
        <v>54</v>
      </c>
      <c r="B56" s="338"/>
      <c r="C56" s="339">
        <v>54</v>
      </c>
      <c r="D56" s="340"/>
    </row>
    <row r="57" spans="1:4">
      <c r="A57" s="337">
        <v>55</v>
      </c>
      <c r="B57" s="338"/>
      <c r="C57" s="339">
        <v>55</v>
      </c>
      <c r="D57" s="340"/>
    </row>
    <row r="58" spans="1:4">
      <c r="A58" s="337">
        <v>56</v>
      </c>
      <c r="B58" s="338"/>
      <c r="C58" s="339">
        <v>56</v>
      </c>
      <c r="D58" s="340"/>
    </row>
    <row r="59" spans="1:4">
      <c r="A59" s="337">
        <v>57</v>
      </c>
      <c r="B59" s="338"/>
      <c r="C59" s="339">
        <v>57</v>
      </c>
      <c r="D59" s="340"/>
    </row>
    <row r="60" spans="1:4">
      <c r="A60" s="337">
        <v>58</v>
      </c>
      <c r="B60" s="338"/>
      <c r="C60" s="339">
        <v>58</v>
      </c>
      <c r="D60" s="340"/>
    </row>
    <row r="61" spans="1:4">
      <c r="A61" s="337">
        <v>59</v>
      </c>
      <c r="B61" s="338"/>
      <c r="C61" s="339">
        <v>59</v>
      </c>
      <c r="D61" s="340"/>
    </row>
    <row r="62" spans="1:4">
      <c r="A62" s="337">
        <v>60</v>
      </c>
      <c r="B62" s="338"/>
      <c r="C62" s="339">
        <v>60</v>
      </c>
      <c r="D62" s="340"/>
    </row>
    <row r="63" spans="1:4">
      <c r="A63" s="337">
        <v>61</v>
      </c>
      <c r="B63" s="338"/>
      <c r="C63" s="339">
        <v>61</v>
      </c>
      <c r="D63" s="340"/>
    </row>
    <row r="64" spans="1:4">
      <c r="A64" s="337">
        <v>62</v>
      </c>
      <c r="B64" s="338"/>
      <c r="C64" s="339">
        <v>62</v>
      </c>
      <c r="D64" s="340"/>
    </row>
    <row r="65" spans="1:4">
      <c r="A65" s="337">
        <v>63</v>
      </c>
      <c r="B65" s="338"/>
      <c r="C65" s="339">
        <v>63</v>
      </c>
      <c r="D65" s="340"/>
    </row>
    <row r="66" spans="1:4">
      <c r="A66" s="337">
        <v>64</v>
      </c>
      <c r="B66" s="338"/>
      <c r="C66" s="339">
        <v>64</v>
      </c>
      <c r="D66" s="340"/>
    </row>
    <row r="67" spans="1:4">
      <c r="A67" s="337">
        <v>65</v>
      </c>
      <c r="B67" s="338"/>
      <c r="C67" s="339">
        <v>65</v>
      </c>
      <c r="D67" s="340"/>
    </row>
    <row r="68" spans="1:4">
      <c r="A68" s="337">
        <v>66</v>
      </c>
      <c r="B68" s="338"/>
      <c r="C68" s="339">
        <v>66</v>
      </c>
      <c r="D68" s="340"/>
    </row>
    <row r="69" spans="1:4">
      <c r="A69" s="337">
        <v>67</v>
      </c>
      <c r="B69" s="338"/>
      <c r="C69" s="339">
        <v>67</v>
      </c>
      <c r="D69" s="340"/>
    </row>
    <row r="70" spans="1:4">
      <c r="A70" s="337">
        <v>68</v>
      </c>
      <c r="B70" s="338"/>
      <c r="C70" s="339">
        <v>68</v>
      </c>
      <c r="D70" s="340"/>
    </row>
    <row r="71" spans="1:4">
      <c r="A71" s="337">
        <v>69</v>
      </c>
      <c r="B71" s="338"/>
      <c r="C71" s="339">
        <v>69</v>
      </c>
      <c r="D71" s="340"/>
    </row>
    <row r="72" spans="1:4">
      <c r="A72" s="337">
        <v>70</v>
      </c>
      <c r="B72" s="338"/>
      <c r="C72" s="339">
        <v>70</v>
      </c>
      <c r="D72" s="340"/>
    </row>
    <row r="73" spans="1:4">
      <c r="A73" s="337">
        <v>71</v>
      </c>
      <c r="B73" s="338"/>
      <c r="C73" s="339">
        <v>71</v>
      </c>
      <c r="D73" s="340"/>
    </row>
    <row r="74" spans="1:4">
      <c r="A74" s="337">
        <v>72</v>
      </c>
      <c r="B74" s="338"/>
      <c r="C74" s="339">
        <v>72</v>
      </c>
      <c r="D74" s="340"/>
    </row>
    <row r="75" spans="1:4">
      <c r="A75" s="337">
        <v>73</v>
      </c>
      <c r="B75" s="338"/>
      <c r="C75" s="339">
        <v>73</v>
      </c>
      <c r="D75" s="340"/>
    </row>
    <row r="76" spans="1:4">
      <c r="A76" s="337">
        <v>74</v>
      </c>
      <c r="B76" s="338"/>
      <c r="C76" s="339">
        <v>74</v>
      </c>
      <c r="D76" s="340"/>
    </row>
    <row r="77" spans="1:4">
      <c r="A77" s="337">
        <v>75</v>
      </c>
      <c r="B77" s="338"/>
      <c r="C77" s="339">
        <v>75</v>
      </c>
      <c r="D77" s="340"/>
    </row>
    <row r="78" spans="1:4">
      <c r="A78" s="337">
        <v>76</v>
      </c>
      <c r="B78" s="338"/>
      <c r="C78" s="339">
        <v>76</v>
      </c>
      <c r="D78" s="340"/>
    </row>
    <row r="79" spans="1:4">
      <c r="A79" s="337">
        <v>77</v>
      </c>
      <c r="B79" s="338"/>
      <c r="C79" s="339">
        <v>77</v>
      </c>
      <c r="D79" s="340"/>
    </row>
    <row r="80" spans="1:4">
      <c r="A80" s="337">
        <v>78</v>
      </c>
      <c r="B80" s="338"/>
      <c r="C80" s="339">
        <v>78</v>
      </c>
      <c r="D80" s="340"/>
    </row>
    <row r="81" spans="1:4">
      <c r="A81" s="337">
        <v>79</v>
      </c>
      <c r="B81" s="338"/>
      <c r="C81" s="339">
        <v>79</v>
      </c>
      <c r="D81" s="340"/>
    </row>
    <row r="82" spans="1:4">
      <c r="A82" s="337">
        <v>80</v>
      </c>
      <c r="B82" s="338"/>
      <c r="C82" s="339">
        <v>80</v>
      </c>
      <c r="D82" s="340"/>
    </row>
    <row r="83" spans="1:4">
      <c r="A83" s="337">
        <v>81</v>
      </c>
      <c r="B83" s="338"/>
      <c r="C83" s="339">
        <v>81</v>
      </c>
      <c r="D83" s="340"/>
    </row>
    <row r="84" spans="1:4">
      <c r="A84" s="337">
        <v>82</v>
      </c>
      <c r="B84" s="338"/>
      <c r="C84" s="339">
        <v>82</v>
      </c>
      <c r="D84" s="340"/>
    </row>
    <row r="85" spans="1:4">
      <c r="A85" s="337">
        <v>83</v>
      </c>
      <c r="B85" s="338"/>
      <c r="C85" s="339">
        <v>83</v>
      </c>
      <c r="D85" s="340"/>
    </row>
    <row r="86" spans="1:4">
      <c r="A86" s="337">
        <v>84</v>
      </c>
      <c r="B86" s="338"/>
      <c r="C86" s="339">
        <v>84</v>
      </c>
      <c r="D86" s="340"/>
    </row>
    <row r="87" spans="1:4">
      <c r="A87" s="337">
        <v>85</v>
      </c>
      <c r="B87" s="338"/>
      <c r="C87" s="339">
        <v>85</v>
      </c>
      <c r="D87" s="340"/>
    </row>
    <row r="88" spans="1:4">
      <c r="A88" s="337">
        <v>86</v>
      </c>
      <c r="B88" s="338"/>
      <c r="C88" s="339">
        <v>86</v>
      </c>
      <c r="D88" s="340"/>
    </row>
    <row r="89" spans="1:4">
      <c r="A89" s="337">
        <v>87</v>
      </c>
      <c r="B89" s="338"/>
      <c r="C89" s="339">
        <v>87</v>
      </c>
      <c r="D89" s="340"/>
    </row>
    <row r="90" spans="1:4">
      <c r="A90" s="337">
        <v>88</v>
      </c>
      <c r="B90" s="338"/>
      <c r="C90" s="339">
        <v>88</v>
      </c>
      <c r="D90" s="340"/>
    </row>
    <row r="91" spans="1:4">
      <c r="A91" s="337">
        <v>89</v>
      </c>
      <c r="B91" s="338"/>
      <c r="C91" s="339">
        <v>89</v>
      </c>
      <c r="D91" s="340"/>
    </row>
    <row r="92" spans="1:4">
      <c r="A92" s="337">
        <v>90</v>
      </c>
      <c r="B92" s="338"/>
      <c r="C92" s="339">
        <v>90</v>
      </c>
      <c r="D92" s="340"/>
    </row>
    <row r="93" spans="1:4">
      <c r="A93" s="337">
        <v>91</v>
      </c>
      <c r="B93" s="338"/>
      <c r="C93" s="339">
        <v>91</v>
      </c>
      <c r="D93" s="340"/>
    </row>
    <row r="94" spans="1:4">
      <c r="A94" s="337">
        <v>92</v>
      </c>
      <c r="B94" s="338"/>
      <c r="C94" s="339">
        <v>92</v>
      </c>
      <c r="D94" s="340"/>
    </row>
    <row r="95" spans="1:4">
      <c r="A95" s="337">
        <v>93</v>
      </c>
      <c r="B95" s="338"/>
      <c r="C95" s="339">
        <v>93</v>
      </c>
      <c r="D95" s="340"/>
    </row>
    <row r="96" spans="1:4">
      <c r="A96" s="337">
        <v>94</v>
      </c>
      <c r="B96" s="338"/>
      <c r="C96" s="339">
        <v>94</v>
      </c>
      <c r="D96" s="340"/>
    </row>
    <row r="97" spans="1:4">
      <c r="A97" s="337">
        <v>95</v>
      </c>
      <c r="B97" s="338"/>
      <c r="C97" s="339">
        <v>95</v>
      </c>
      <c r="D97" s="340"/>
    </row>
    <row r="98" spans="1:4">
      <c r="A98" s="337">
        <v>96</v>
      </c>
      <c r="B98" s="338"/>
      <c r="C98" s="339">
        <v>96</v>
      </c>
      <c r="D98" s="340"/>
    </row>
    <row r="99" spans="1:4">
      <c r="A99" s="337">
        <v>97</v>
      </c>
      <c r="B99" s="338"/>
      <c r="C99" s="339">
        <v>97</v>
      </c>
      <c r="D99" s="340"/>
    </row>
    <row r="100" spans="1:4">
      <c r="A100" s="337">
        <v>98</v>
      </c>
      <c r="B100" s="338"/>
      <c r="C100" s="339">
        <v>98</v>
      </c>
      <c r="D100" s="340"/>
    </row>
    <row r="101" spans="1:4">
      <c r="A101" s="337">
        <v>99</v>
      </c>
      <c r="B101" s="338"/>
      <c r="C101" s="339">
        <v>99</v>
      </c>
      <c r="D101" s="340"/>
    </row>
    <row r="102" spans="1:4">
      <c r="A102" s="337">
        <v>100</v>
      </c>
      <c r="B102" s="338"/>
      <c r="C102" s="339">
        <v>100</v>
      </c>
      <c r="D102" s="340"/>
    </row>
    <row r="103" spans="1:4">
      <c r="A103" s="337">
        <v>101</v>
      </c>
      <c r="B103" s="338"/>
      <c r="C103" s="339">
        <v>101</v>
      </c>
      <c r="D103" s="340"/>
    </row>
    <row r="104" spans="1:4">
      <c r="A104" s="337">
        <v>102</v>
      </c>
      <c r="B104" s="338"/>
      <c r="C104" s="339">
        <v>102</v>
      </c>
      <c r="D104" s="340"/>
    </row>
    <row r="105" spans="1:4">
      <c r="A105" s="337">
        <v>103</v>
      </c>
      <c r="B105" s="338"/>
      <c r="C105" s="339">
        <v>103</v>
      </c>
      <c r="D105" s="340"/>
    </row>
    <row r="106" spans="1:4">
      <c r="A106" s="337">
        <v>104</v>
      </c>
      <c r="B106" s="338"/>
      <c r="C106" s="339">
        <v>104</v>
      </c>
      <c r="D106" s="340"/>
    </row>
    <row r="107" spans="1:4">
      <c r="A107" s="337">
        <v>105</v>
      </c>
      <c r="B107" s="338"/>
      <c r="C107" s="339">
        <v>105</v>
      </c>
      <c r="D107" s="340"/>
    </row>
    <row r="108" spans="1:4">
      <c r="A108" s="337">
        <v>106</v>
      </c>
      <c r="B108" s="338"/>
      <c r="C108" s="339">
        <v>106</v>
      </c>
      <c r="D108" s="340"/>
    </row>
    <row r="109" spans="1:4">
      <c r="A109" s="337">
        <v>107</v>
      </c>
      <c r="B109" s="338"/>
      <c r="C109" s="339">
        <v>107</v>
      </c>
      <c r="D109" s="340"/>
    </row>
    <row r="110" spans="1:4">
      <c r="A110" s="337">
        <v>108</v>
      </c>
      <c r="B110" s="338"/>
      <c r="C110" s="339">
        <v>108</v>
      </c>
      <c r="D110" s="340"/>
    </row>
    <row r="111" spans="1:4">
      <c r="A111" s="337">
        <v>109</v>
      </c>
      <c r="B111" s="338"/>
      <c r="C111" s="339">
        <v>109</v>
      </c>
      <c r="D111" s="340"/>
    </row>
    <row r="112" spans="1:4">
      <c r="A112" s="337">
        <v>110</v>
      </c>
      <c r="B112" s="338"/>
      <c r="C112" s="339">
        <v>110</v>
      </c>
      <c r="D112" s="340"/>
    </row>
    <row r="113" spans="1:4">
      <c r="A113" s="337">
        <v>111</v>
      </c>
      <c r="B113" s="338"/>
      <c r="C113" s="339">
        <v>111</v>
      </c>
      <c r="D113" s="340"/>
    </row>
    <row r="114" spans="1:4">
      <c r="A114" s="337">
        <v>112</v>
      </c>
      <c r="B114" s="338"/>
      <c r="C114" s="339">
        <v>112</v>
      </c>
      <c r="D114" s="340"/>
    </row>
    <row r="115" spans="1:4">
      <c r="A115" s="337">
        <v>113</v>
      </c>
      <c r="B115" s="338"/>
      <c r="C115" s="339">
        <v>113</v>
      </c>
      <c r="D115" s="340"/>
    </row>
    <row r="116" spans="1:4">
      <c r="A116" s="337">
        <v>114</v>
      </c>
      <c r="B116" s="338"/>
      <c r="C116" s="339">
        <v>114</v>
      </c>
      <c r="D116" s="340"/>
    </row>
    <row r="117" spans="1:4">
      <c r="A117" s="337">
        <v>115</v>
      </c>
      <c r="B117" s="338"/>
      <c r="C117" s="339">
        <v>115</v>
      </c>
      <c r="D117" s="340"/>
    </row>
    <row r="118" spans="1:4">
      <c r="A118" s="337">
        <v>116</v>
      </c>
      <c r="B118" s="338"/>
      <c r="C118" s="339">
        <v>116</v>
      </c>
      <c r="D118" s="340"/>
    </row>
    <row r="119" spans="1:4">
      <c r="A119" s="337">
        <v>117</v>
      </c>
      <c r="B119" s="338"/>
      <c r="C119" s="339">
        <v>117</v>
      </c>
      <c r="D119" s="340"/>
    </row>
    <row r="120" spans="1:4">
      <c r="A120" s="337">
        <v>118</v>
      </c>
      <c r="B120" s="338"/>
      <c r="C120" s="339">
        <v>118</v>
      </c>
      <c r="D120" s="340"/>
    </row>
    <row r="121" spans="1:4">
      <c r="A121" s="337">
        <v>119</v>
      </c>
      <c r="B121" s="338"/>
      <c r="C121" s="339">
        <v>119</v>
      </c>
      <c r="D121" s="340"/>
    </row>
    <row r="122" spans="1:4">
      <c r="A122" s="337">
        <v>120</v>
      </c>
      <c r="B122" s="338"/>
      <c r="C122" s="339">
        <v>120</v>
      </c>
      <c r="D122" s="340"/>
    </row>
    <row r="123" spans="1:4">
      <c r="A123" s="337">
        <v>121</v>
      </c>
      <c r="B123" s="338"/>
      <c r="C123" s="339">
        <v>121</v>
      </c>
      <c r="D123" s="340"/>
    </row>
    <row r="124" spans="1:4">
      <c r="A124" s="337">
        <v>122</v>
      </c>
      <c r="B124" s="338"/>
      <c r="C124" s="339">
        <v>122</v>
      </c>
      <c r="D124" s="340"/>
    </row>
    <row r="125" spans="1:4">
      <c r="A125" s="337">
        <v>123</v>
      </c>
      <c r="B125" s="338"/>
      <c r="C125" s="339">
        <v>123</v>
      </c>
      <c r="D125" s="340"/>
    </row>
    <row r="126" spans="1:4">
      <c r="A126" s="337">
        <v>124</v>
      </c>
      <c r="B126" s="338"/>
      <c r="C126" s="339">
        <v>124</v>
      </c>
      <c r="D126" s="340"/>
    </row>
    <row r="127" spans="1:4">
      <c r="A127" s="337">
        <v>125</v>
      </c>
      <c r="B127" s="338"/>
      <c r="C127" s="339">
        <v>125</v>
      </c>
      <c r="D127" s="340"/>
    </row>
    <row r="128" spans="1:4">
      <c r="A128" s="337">
        <v>126</v>
      </c>
      <c r="B128" s="338"/>
      <c r="C128" s="339">
        <v>126</v>
      </c>
      <c r="D128" s="340"/>
    </row>
    <row r="129" spans="1:4">
      <c r="A129" s="337">
        <v>127</v>
      </c>
      <c r="B129" s="338"/>
      <c r="C129" s="339">
        <v>127</v>
      </c>
      <c r="D129" s="340"/>
    </row>
    <row r="130" spans="1:4">
      <c r="A130" s="337">
        <v>128</v>
      </c>
      <c r="B130" s="338"/>
      <c r="C130" s="339">
        <v>128</v>
      </c>
      <c r="D130" s="340"/>
    </row>
    <row r="131" spans="1:4">
      <c r="A131" s="337">
        <v>129</v>
      </c>
      <c r="B131" s="338"/>
      <c r="C131" s="339">
        <v>129</v>
      </c>
      <c r="D131" s="340"/>
    </row>
    <row r="132" spans="1:4">
      <c r="A132" s="337">
        <v>130</v>
      </c>
      <c r="B132" s="338"/>
      <c r="C132" s="339">
        <v>130</v>
      </c>
      <c r="D132" s="340"/>
    </row>
    <row r="133" spans="1:4">
      <c r="A133" s="337">
        <v>131</v>
      </c>
      <c r="B133" s="338"/>
      <c r="C133" s="339">
        <v>131</v>
      </c>
      <c r="D133" s="340"/>
    </row>
    <row r="134" spans="1:4">
      <c r="A134" s="337">
        <v>132</v>
      </c>
      <c r="B134" s="338"/>
      <c r="C134" s="339">
        <v>132</v>
      </c>
      <c r="D134" s="340"/>
    </row>
    <row r="135" spans="1:4">
      <c r="A135" s="337">
        <v>133</v>
      </c>
      <c r="B135" s="338"/>
      <c r="C135" s="339">
        <v>133</v>
      </c>
      <c r="D135" s="340"/>
    </row>
    <row r="136" spans="1:4">
      <c r="A136" s="337">
        <v>134</v>
      </c>
      <c r="B136" s="338"/>
      <c r="C136" s="339">
        <v>134</v>
      </c>
      <c r="D136" s="340"/>
    </row>
    <row r="137" spans="1:4">
      <c r="A137" s="337">
        <v>135</v>
      </c>
      <c r="B137" s="338"/>
      <c r="C137" s="339">
        <v>135</v>
      </c>
      <c r="D137" s="340"/>
    </row>
    <row r="138" spans="1:4">
      <c r="A138" s="337">
        <v>136</v>
      </c>
      <c r="B138" s="338"/>
      <c r="C138" s="339">
        <v>136</v>
      </c>
      <c r="D138" s="340"/>
    </row>
    <row r="139" spans="1:4">
      <c r="A139" s="337">
        <v>137</v>
      </c>
      <c r="B139" s="338"/>
      <c r="C139" s="339">
        <v>137</v>
      </c>
      <c r="D139" s="340"/>
    </row>
    <row r="140" spans="1:4">
      <c r="A140" s="337">
        <v>138</v>
      </c>
      <c r="B140" s="338"/>
      <c r="C140" s="339">
        <v>138</v>
      </c>
      <c r="D140" s="340"/>
    </row>
    <row r="141" spans="1:4">
      <c r="A141" s="337">
        <v>139</v>
      </c>
      <c r="B141" s="338"/>
      <c r="C141" s="339">
        <v>139</v>
      </c>
      <c r="D141" s="340"/>
    </row>
    <row r="142" spans="1:4">
      <c r="A142" s="337">
        <v>140</v>
      </c>
      <c r="B142" s="338"/>
      <c r="C142" s="339">
        <v>140</v>
      </c>
      <c r="D142" s="340"/>
    </row>
    <row r="143" spans="1:4">
      <c r="A143" s="337">
        <v>141</v>
      </c>
      <c r="B143" s="338"/>
      <c r="C143" s="339">
        <v>141</v>
      </c>
      <c r="D143" s="340"/>
    </row>
    <row r="144" spans="1:4">
      <c r="A144" s="337">
        <v>142</v>
      </c>
      <c r="B144" s="338"/>
      <c r="C144" s="339">
        <v>142</v>
      </c>
      <c r="D144" s="340"/>
    </row>
    <row r="145" spans="1:4">
      <c r="A145" s="337">
        <v>143</v>
      </c>
      <c r="B145" s="338"/>
      <c r="C145" s="339">
        <v>143</v>
      </c>
      <c r="D145" s="340"/>
    </row>
    <row r="146" spans="1:4">
      <c r="A146" s="337">
        <v>144</v>
      </c>
      <c r="B146" s="338"/>
      <c r="C146" s="339">
        <v>144</v>
      </c>
      <c r="D146" s="340"/>
    </row>
    <row r="147" spans="1:4">
      <c r="A147" s="337">
        <v>145</v>
      </c>
      <c r="B147" s="338"/>
      <c r="C147" s="339">
        <v>145</v>
      </c>
      <c r="D147" s="340"/>
    </row>
    <row r="148" spans="1:4">
      <c r="A148" s="337">
        <v>146</v>
      </c>
      <c r="B148" s="338"/>
      <c r="C148" s="339">
        <v>146</v>
      </c>
      <c r="D148" s="340"/>
    </row>
    <row r="149" spans="1:4">
      <c r="A149" s="337">
        <v>147</v>
      </c>
      <c r="B149" s="338"/>
      <c r="C149" s="339">
        <v>147</v>
      </c>
      <c r="D149" s="340"/>
    </row>
    <row r="150" spans="1:4">
      <c r="A150" s="337">
        <v>148</v>
      </c>
      <c r="B150" s="338"/>
      <c r="C150" s="339">
        <v>148</v>
      </c>
      <c r="D150" s="340"/>
    </row>
    <row r="151" spans="1:4">
      <c r="A151" s="337">
        <v>149</v>
      </c>
      <c r="B151" s="338"/>
      <c r="C151" s="339">
        <v>149</v>
      </c>
      <c r="D151" s="340"/>
    </row>
    <row r="152" spans="1:4">
      <c r="A152" s="337">
        <v>150</v>
      </c>
      <c r="B152" s="338"/>
      <c r="C152" s="339">
        <v>150</v>
      </c>
      <c r="D152" s="340"/>
    </row>
    <row r="153" spans="1:4">
      <c r="A153" s="337">
        <v>151</v>
      </c>
      <c r="B153" s="338"/>
      <c r="C153" s="339">
        <v>151</v>
      </c>
      <c r="D153" s="340"/>
    </row>
    <row r="154" spans="1:4">
      <c r="A154" s="337">
        <v>152</v>
      </c>
      <c r="B154" s="338"/>
      <c r="C154" s="339">
        <v>152</v>
      </c>
      <c r="D154" s="340"/>
    </row>
    <row r="155" spans="1:4">
      <c r="A155" s="337">
        <v>153</v>
      </c>
      <c r="B155" s="338"/>
      <c r="C155" s="339">
        <v>153</v>
      </c>
      <c r="D155" s="340"/>
    </row>
    <row r="156" spans="1:4">
      <c r="A156" s="337">
        <v>154</v>
      </c>
      <c r="B156" s="338"/>
      <c r="C156" s="339">
        <v>154</v>
      </c>
      <c r="D156" s="340"/>
    </row>
    <row r="157" spans="1:4">
      <c r="A157" s="337">
        <v>155</v>
      </c>
      <c r="B157" s="338"/>
      <c r="C157" s="339">
        <v>155</v>
      </c>
      <c r="D157" s="340"/>
    </row>
    <row r="158" spans="1:4">
      <c r="A158" s="337">
        <v>156</v>
      </c>
      <c r="B158" s="338"/>
      <c r="C158" s="339">
        <v>156</v>
      </c>
      <c r="D158" s="340"/>
    </row>
    <row r="159" spans="1:4">
      <c r="A159" s="337">
        <v>157</v>
      </c>
      <c r="B159" s="338"/>
      <c r="C159" s="339">
        <v>157</v>
      </c>
      <c r="D159" s="340"/>
    </row>
    <row r="160" spans="1:4">
      <c r="A160" s="337">
        <v>158</v>
      </c>
      <c r="B160" s="338"/>
      <c r="C160" s="339">
        <v>158</v>
      </c>
      <c r="D160" s="340"/>
    </row>
    <row r="161" spans="1:4">
      <c r="A161" s="337">
        <v>159</v>
      </c>
      <c r="B161" s="338"/>
      <c r="C161" s="339">
        <v>159</v>
      </c>
      <c r="D161" s="340"/>
    </row>
    <row r="162" spans="1:4">
      <c r="A162" s="337">
        <v>160</v>
      </c>
      <c r="B162" s="338"/>
      <c r="C162" s="339">
        <v>160</v>
      </c>
      <c r="D162" s="340"/>
    </row>
    <row r="163" spans="1:4">
      <c r="A163" s="337">
        <v>161</v>
      </c>
      <c r="B163" s="338"/>
      <c r="C163" s="339">
        <v>161</v>
      </c>
      <c r="D163" s="340"/>
    </row>
    <row r="164" spans="1:4">
      <c r="A164" s="337">
        <v>162</v>
      </c>
      <c r="B164" s="338"/>
      <c r="C164" s="339">
        <v>162</v>
      </c>
      <c r="D164" s="340"/>
    </row>
    <row r="165" spans="1:4">
      <c r="A165" s="337">
        <v>163</v>
      </c>
      <c r="B165" s="338"/>
      <c r="C165" s="339">
        <v>163</v>
      </c>
      <c r="D165" s="340"/>
    </row>
    <row r="166" spans="1:4">
      <c r="A166" s="337">
        <v>164</v>
      </c>
      <c r="B166" s="338"/>
      <c r="C166" s="339">
        <v>164</v>
      </c>
      <c r="D166" s="340"/>
    </row>
    <row r="167" spans="1:4">
      <c r="A167" s="337">
        <v>165</v>
      </c>
      <c r="B167" s="338"/>
      <c r="C167" s="339">
        <v>165</v>
      </c>
      <c r="D167" s="340"/>
    </row>
    <row r="168" spans="1:4">
      <c r="A168" s="337">
        <v>166</v>
      </c>
      <c r="B168" s="338"/>
      <c r="C168" s="339">
        <v>166</v>
      </c>
      <c r="D168" s="340"/>
    </row>
    <row r="169" spans="1:4">
      <c r="A169" s="337">
        <v>167</v>
      </c>
      <c r="B169" s="338"/>
      <c r="C169" s="339">
        <v>167</v>
      </c>
      <c r="D169" s="340"/>
    </row>
    <row r="170" spans="1:4">
      <c r="A170" s="337">
        <v>168</v>
      </c>
      <c r="B170" s="338"/>
      <c r="C170" s="339">
        <v>168</v>
      </c>
      <c r="D170" s="340"/>
    </row>
    <row r="171" spans="1:4">
      <c r="A171" s="337">
        <v>169</v>
      </c>
      <c r="B171" s="338"/>
      <c r="C171" s="339">
        <v>169</v>
      </c>
      <c r="D171" s="340"/>
    </row>
    <row r="172" spans="1:4">
      <c r="A172" s="337">
        <v>170</v>
      </c>
      <c r="B172" s="338"/>
      <c r="C172" s="339">
        <v>170</v>
      </c>
      <c r="D172" s="340"/>
    </row>
    <row r="173" spans="1:4">
      <c r="A173" s="337">
        <v>171</v>
      </c>
      <c r="B173" s="338"/>
      <c r="C173" s="339">
        <v>171</v>
      </c>
      <c r="D173" s="340"/>
    </row>
    <row r="174" spans="1:4">
      <c r="A174" s="337">
        <v>172</v>
      </c>
      <c r="B174" s="338"/>
      <c r="C174" s="339">
        <v>172</v>
      </c>
      <c r="D174" s="340"/>
    </row>
    <row r="175" spans="1:4">
      <c r="A175" s="337">
        <v>173</v>
      </c>
      <c r="B175" s="338"/>
      <c r="C175" s="339">
        <v>173</v>
      </c>
      <c r="D175" s="340"/>
    </row>
    <row r="176" spans="1:4">
      <c r="A176" s="337">
        <v>174</v>
      </c>
      <c r="B176" s="338"/>
      <c r="C176" s="339">
        <v>174</v>
      </c>
      <c r="D176" s="340"/>
    </row>
    <row r="177" spans="1:4">
      <c r="A177" s="337">
        <v>175</v>
      </c>
      <c r="B177" s="338"/>
      <c r="C177" s="339">
        <v>175</v>
      </c>
      <c r="D177" s="340"/>
    </row>
    <row r="178" spans="1:4">
      <c r="A178" s="337">
        <v>176</v>
      </c>
      <c r="B178" s="338"/>
      <c r="C178" s="339">
        <v>176</v>
      </c>
      <c r="D178" s="340"/>
    </row>
    <row r="179" spans="1:4">
      <c r="A179" s="337">
        <v>177</v>
      </c>
      <c r="B179" s="338"/>
      <c r="C179" s="339">
        <v>177</v>
      </c>
      <c r="D179" s="340"/>
    </row>
    <row r="180" spans="1:4">
      <c r="A180" s="337">
        <v>178</v>
      </c>
      <c r="B180" s="338"/>
      <c r="C180" s="339">
        <v>178</v>
      </c>
      <c r="D180" s="340"/>
    </row>
    <row r="181" spans="1:4">
      <c r="A181" s="337">
        <v>179</v>
      </c>
      <c r="B181" s="338"/>
      <c r="C181" s="339">
        <v>179</v>
      </c>
      <c r="D181" s="340"/>
    </row>
    <row r="182" spans="1:4">
      <c r="A182" s="337">
        <v>180</v>
      </c>
      <c r="B182" s="338"/>
      <c r="C182" s="339">
        <v>180</v>
      </c>
      <c r="D182" s="340"/>
    </row>
    <row r="183" spans="1:4">
      <c r="A183" s="337">
        <v>181</v>
      </c>
      <c r="B183" s="338"/>
      <c r="C183" s="339">
        <v>181</v>
      </c>
      <c r="D183" s="340"/>
    </row>
    <row r="184" spans="1:4">
      <c r="A184" s="337">
        <v>182</v>
      </c>
      <c r="B184" s="338"/>
      <c r="C184" s="339">
        <v>182</v>
      </c>
      <c r="D184" s="340"/>
    </row>
    <row r="185" spans="1:4">
      <c r="A185" s="337">
        <v>183</v>
      </c>
      <c r="B185" s="338"/>
      <c r="C185" s="339">
        <v>183</v>
      </c>
      <c r="D185" s="340"/>
    </row>
    <row r="186" spans="1:4">
      <c r="A186" s="337">
        <v>184</v>
      </c>
      <c r="B186" s="338"/>
      <c r="C186" s="339">
        <v>184</v>
      </c>
      <c r="D186" s="340"/>
    </row>
    <row r="187" spans="1:4">
      <c r="A187" s="337">
        <v>185</v>
      </c>
      <c r="B187" s="338"/>
      <c r="C187" s="339">
        <v>185</v>
      </c>
      <c r="D187" s="340"/>
    </row>
    <row r="188" spans="1:4">
      <c r="A188" s="337">
        <v>186</v>
      </c>
      <c r="B188" s="338"/>
      <c r="C188" s="339">
        <v>186</v>
      </c>
      <c r="D188" s="340"/>
    </row>
    <row r="189" spans="1:4">
      <c r="A189" s="337">
        <v>187</v>
      </c>
      <c r="B189" s="338"/>
      <c r="C189" s="339">
        <v>187</v>
      </c>
      <c r="D189" s="340"/>
    </row>
    <row r="190" spans="1:4">
      <c r="A190" s="337">
        <v>188</v>
      </c>
      <c r="B190" s="338"/>
      <c r="C190" s="339">
        <v>188</v>
      </c>
      <c r="D190" s="340"/>
    </row>
    <row r="191" spans="1:4">
      <c r="A191" s="337">
        <v>189</v>
      </c>
      <c r="B191" s="338"/>
      <c r="C191" s="339">
        <v>189</v>
      </c>
      <c r="D191" s="340"/>
    </row>
    <row r="192" spans="1:4">
      <c r="A192" s="337">
        <v>190</v>
      </c>
      <c r="B192" s="338"/>
      <c r="C192" s="339">
        <v>190</v>
      </c>
      <c r="D192" s="340"/>
    </row>
    <row r="193" spans="1:4">
      <c r="A193" s="337">
        <v>191</v>
      </c>
      <c r="B193" s="338"/>
      <c r="C193" s="339">
        <v>191</v>
      </c>
      <c r="D193" s="340"/>
    </row>
    <row r="194" spans="1:4">
      <c r="A194" s="337">
        <v>192</v>
      </c>
      <c r="B194" s="338"/>
      <c r="C194" s="339">
        <v>192</v>
      </c>
      <c r="D194" s="340"/>
    </row>
    <row r="195" spans="1:4">
      <c r="A195" s="337">
        <v>193</v>
      </c>
      <c r="B195" s="338"/>
      <c r="C195" s="339">
        <v>193</v>
      </c>
      <c r="D195" s="340"/>
    </row>
    <row r="196" spans="1:4">
      <c r="A196" s="337">
        <v>194</v>
      </c>
      <c r="B196" s="338"/>
      <c r="C196" s="339">
        <v>194</v>
      </c>
      <c r="D196" s="340"/>
    </row>
    <row r="197" spans="1:4">
      <c r="A197" s="337">
        <v>195</v>
      </c>
      <c r="B197" s="338"/>
      <c r="C197" s="339">
        <v>195</v>
      </c>
      <c r="D197" s="340"/>
    </row>
    <row r="198" spans="1:4">
      <c r="A198" s="337">
        <v>196</v>
      </c>
      <c r="B198" s="338"/>
      <c r="C198" s="339">
        <v>196</v>
      </c>
      <c r="D198" s="340"/>
    </row>
    <row r="199" spans="1:4">
      <c r="A199" s="337">
        <v>197</v>
      </c>
      <c r="B199" s="338"/>
      <c r="C199" s="339">
        <v>197</v>
      </c>
      <c r="D199" s="340"/>
    </row>
    <row r="200" spans="1:4">
      <c r="A200" s="337">
        <v>198</v>
      </c>
      <c r="B200" s="338"/>
      <c r="C200" s="339">
        <v>198</v>
      </c>
      <c r="D200" s="340"/>
    </row>
    <row r="201" spans="1:4">
      <c r="A201" s="337">
        <v>199</v>
      </c>
      <c r="B201" s="338"/>
      <c r="C201" s="339">
        <v>199</v>
      </c>
      <c r="D201" s="340"/>
    </row>
    <row r="202" spans="1:4">
      <c r="A202" s="337">
        <v>200</v>
      </c>
      <c r="B202" s="338"/>
      <c r="C202" s="339">
        <v>200</v>
      </c>
      <c r="D202" s="340"/>
    </row>
    <row r="203" spans="1:4">
      <c r="A203" s="337">
        <v>201</v>
      </c>
      <c r="B203" s="338"/>
      <c r="C203" s="339">
        <v>201</v>
      </c>
      <c r="D203" s="340"/>
    </row>
    <row r="204" spans="1:4">
      <c r="A204" s="337">
        <v>202</v>
      </c>
      <c r="B204" s="338"/>
      <c r="C204" s="339">
        <v>202</v>
      </c>
      <c r="D204" s="340"/>
    </row>
    <row r="205" spans="1:4">
      <c r="A205" s="337">
        <v>203</v>
      </c>
      <c r="B205" s="338"/>
      <c r="C205" s="339">
        <v>203</v>
      </c>
      <c r="D205" s="340"/>
    </row>
    <row r="206" spans="1:4">
      <c r="A206" s="337">
        <v>204</v>
      </c>
      <c r="B206" s="338"/>
      <c r="C206" s="339">
        <v>204</v>
      </c>
      <c r="D206" s="340"/>
    </row>
    <row r="207" spans="1:4">
      <c r="A207" s="337">
        <v>205</v>
      </c>
      <c r="B207" s="338"/>
      <c r="C207" s="339">
        <v>205</v>
      </c>
      <c r="D207" s="340"/>
    </row>
    <row r="208" spans="1:4">
      <c r="A208" s="337">
        <v>206</v>
      </c>
      <c r="B208" s="338"/>
      <c r="C208" s="339">
        <v>206</v>
      </c>
      <c r="D208" s="340"/>
    </row>
    <row r="209" spans="1:4">
      <c r="A209" s="337">
        <v>207</v>
      </c>
      <c r="B209" s="338"/>
      <c r="C209" s="339">
        <v>207</v>
      </c>
      <c r="D209" s="340"/>
    </row>
    <row r="210" spans="1:4">
      <c r="A210" s="337">
        <v>208</v>
      </c>
      <c r="B210" s="338"/>
      <c r="C210" s="339">
        <v>208</v>
      </c>
      <c r="D210" s="340"/>
    </row>
    <row r="211" spans="1:4">
      <c r="A211" s="337">
        <v>209</v>
      </c>
      <c r="B211" s="338"/>
      <c r="C211" s="339">
        <v>209</v>
      </c>
      <c r="D211" s="340"/>
    </row>
    <row r="212" spans="1:4">
      <c r="A212" s="337">
        <v>210</v>
      </c>
      <c r="B212" s="338"/>
      <c r="C212" s="339">
        <v>210</v>
      </c>
      <c r="D212" s="340"/>
    </row>
    <row r="213" spans="1:4">
      <c r="A213" s="337">
        <v>211</v>
      </c>
      <c r="B213" s="338"/>
      <c r="C213" s="339">
        <v>211</v>
      </c>
      <c r="D213" s="340"/>
    </row>
    <row r="214" spans="1:4">
      <c r="A214" s="337">
        <v>212</v>
      </c>
      <c r="B214" s="338"/>
      <c r="C214" s="339">
        <v>212</v>
      </c>
      <c r="D214" s="340"/>
    </row>
    <row r="215" spans="1:4">
      <c r="A215" s="337">
        <v>213</v>
      </c>
      <c r="B215" s="338"/>
      <c r="C215" s="339">
        <v>213</v>
      </c>
      <c r="D215" s="340"/>
    </row>
    <row r="216" spans="1:4">
      <c r="A216" s="337">
        <v>214</v>
      </c>
      <c r="B216" s="338"/>
      <c r="C216" s="339">
        <v>214</v>
      </c>
      <c r="D216" s="340"/>
    </row>
    <row r="217" spans="1:4">
      <c r="A217" s="337">
        <v>215</v>
      </c>
      <c r="B217" s="338"/>
      <c r="C217" s="339">
        <v>215</v>
      </c>
      <c r="D217" s="340"/>
    </row>
    <row r="218" spans="1:4">
      <c r="A218" s="337">
        <v>216</v>
      </c>
      <c r="B218" s="338"/>
      <c r="C218" s="339">
        <v>216</v>
      </c>
      <c r="D218" s="340"/>
    </row>
    <row r="219" spans="1:4">
      <c r="A219" s="337">
        <v>217</v>
      </c>
      <c r="B219" s="338"/>
      <c r="C219" s="339">
        <v>217</v>
      </c>
      <c r="D219" s="340"/>
    </row>
    <row r="220" spans="1:4">
      <c r="A220" s="337">
        <v>218</v>
      </c>
      <c r="B220" s="338"/>
      <c r="C220" s="339">
        <v>218</v>
      </c>
      <c r="D220" s="340"/>
    </row>
    <row r="221" spans="1:4">
      <c r="A221" s="337">
        <v>219</v>
      </c>
      <c r="B221" s="338"/>
      <c r="C221" s="339">
        <v>219</v>
      </c>
      <c r="D221" s="340"/>
    </row>
    <row r="222" spans="1:4">
      <c r="A222" s="337">
        <v>220</v>
      </c>
      <c r="B222" s="338"/>
      <c r="C222" s="339">
        <v>220</v>
      </c>
      <c r="D222" s="340"/>
    </row>
    <row r="223" spans="1:4">
      <c r="A223" s="337">
        <v>221</v>
      </c>
      <c r="B223" s="338"/>
      <c r="C223" s="339">
        <v>221</v>
      </c>
      <c r="D223" s="340"/>
    </row>
    <row r="224" spans="1:4">
      <c r="A224" s="337">
        <v>222</v>
      </c>
      <c r="B224" s="338"/>
      <c r="C224" s="339">
        <v>222</v>
      </c>
      <c r="D224" s="340"/>
    </row>
    <row r="225" spans="1:4">
      <c r="A225" s="337">
        <v>223</v>
      </c>
      <c r="B225" s="338"/>
      <c r="C225" s="339">
        <v>223</v>
      </c>
      <c r="D225" s="340"/>
    </row>
    <row r="226" spans="1:4">
      <c r="A226" s="337">
        <v>224</v>
      </c>
      <c r="B226" s="338"/>
      <c r="C226" s="339">
        <v>224</v>
      </c>
      <c r="D226" s="340"/>
    </row>
    <row r="227" spans="1:4">
      <c r="A227" s="337">
        <v>225</v>
      </c>
      <c r="B227" s="338"/>
      <c r="C227" s="339">
        <v>225</v>
      </c>
      <c r="D227" s="340"/>
    </row>
    <row r="228" spans="1:4">
      <c r="A228" s="337">
        <v>226</v>
      </c>
      <c r="B228" s="338"/>
      <c r="C228" s="339">
        <v>226</v>
      </c>
      <c r="D228" s="340"/>
    </row>
    <row r="229" spans="1:4">
      <c r="A229" s="337">
        <v>227</v>
      </c>
      <c r="B229" s="338"/>
      <c r="C229" s="339">
        <v>227</v>
      </c>
      <c r="D229" s="340"/>
    </row>
    <row r="230" spans="1:4">
      <c r="A230" s="337">
        <v>228</v>
      </c>
      <c r="B230" s="338"/>
      <c r="C230" s="339">
        <v>228</v>
      </c>
      <c r="D230" s="340"/>
    </row>
    <row r="231" spans="1:4">
      <c r="A231" s="337">
        <v>229</v>
      </c>
      <c r="B231" s="338"/>
      <c r="C231" s="339">
        <v>229</v>
      </c>
      <c r="D231" s="340"/>
    </row>
    <row r="232" spans="1:4">
      <c r="A232" s="337">
        <v>230</v>
      </c>
      <c r="B232" s="338"/>
      <c r="C232" s="339">
        <v>230</v>
      </c>
      <c r="D232" s="340"/>
    </row>
    <row r="233" spans="1:4">
      <c r="A233" s="337">
        <v>231</v>
      </c>
      <c r="B233" s="338"/>
      <c r="C233" s="339">
        <v>231</v>
      </c>
      <c r="D233" s="340"/>
    </row>
    <row r="234" spans="1:4">
      <c r="A234" s="337">
        <v>232</v>
      </c>
      <c r="B234" s="338"/>
      <c r="C234" s="339">
        <v>232</v>
      </c>
      <c r="D234" s="340"/>
    </row>
    <row r="235" spans="1:4">
      <c r="A235" s="337">
        <v>233</v>
      </c>
      <c r="B235" s="338"/>
      <c r="C235" s="339">
        <v>233</v>
      </c>
      <c r="D235" s="340"/>
    </row>
    <row r="236" spans="1:4">
      <c r="A236" s="337">
        <v>234</v>
      </c>
      <c r="B236" s="338"/>
      <c r="C236" s="339">
        <v>234</v>
      </c>
      <c r="D236" s="340"/>
    </row>
    <row r="237" spans="1:4">
      <c r="A237" s="337">
        <v>235</v>
      </c>
      <c r="B237" s="338"/>
      <c r="C237" s="339">
        <v>235</v>
      </c>
      <c r="D237" s="340"/>
    </row>
    <row r="238" spans="1:4">
      <c r="A238" s="337">
        <v>236</v>
      </c>
      <c r="B238" s="338"/>
      <c r="C238" s="339">
        <v>236</v>
      </c>
      <c r="D238" s="340"/>
    </row>
    <row r="239" spans="1:4">
      <c r="A239" s="337">
        <v>237</v>
      </c>
      <c r="B239" s="338"/>
      <c r="C239" s="339">
        <v>237</v>
      </c>
      <c r="D239" s="340"/>
    </row>
    <row r="240" spans="1:4">
      <c r="A240" s="337">
        <v>238</v>
      </c>
      <c r="B240" s="338"/>
      <c r="C240" s="339">
        <v>238</v>
      </c>
      <c r="D240" s="340"/>
    </row>
    <row r="241" spans="1:4">
      <c r="A241" s="337">
        <v>239</v>
      </c>
      <c r="B241" s="338"/>
      <c r="C241" s="339">
        <v>239</v>
      </c>
      <c r="D241" s="340"/>
    </row>
    <row r="242" spans="1:4">
      <c r="A242" s="337">
        <v>240</v>
      </c>
      <c r="B242" s="338"/>
      <c r="C242" s="339">
        <v>240</v>
      </c>
      <c r="D242" s="340"/>
    </row>
    <row r="243" spans="1:4">
      <c r="A243" s="337">
        <v>241</v>
      </c>
      <c r="B243" s="338"/>
      <c r="C243" s="339">
        <v>241</v>
      </c>
      <c r="D243" s="340"/>
    </row>
    <row r="244" spans="1:4">
      <c r="A244" s="337">
        <v>242</v>
      </c>
      <c r="B244" s="338"/>
      <c r="C244" s="339">
        <v>242</v>
      </c>
      <c r="D244" s="340"/>
    </row>
    <row r="245" spans="1:4">
      <c r="A245" s="337">
        <v>243</v>
      </c>
      <c r="B245" s="338"/>
      <c r="C245" s="339">
        <v>243</v>
      </c>
      <c r="D245" s="340"/>
    </row>
    <row r="246" spans="1:4">
      <c r="A246" s="337">
        <v>244</v>
      </c>
      <c r="B246" s="338"/>
      <c r="C246" s="339">
        <v>244</v>
      </c>
      <c r="D246" s="340"/>
    </row>
    <row r="247" spans="1:4">
      <c r="A247" s="337">
        <v>245</v>
      </c>
      <c r="B247" s="338"/>
      <c r="C247" s="339">
        <v>245</v>
      </c>
      <c r="D247" s="340"/>
    </row>
    <row r="248" spans="1:4">
      <c r="A248" s="337">
        <v>246</v>
      </c>
      <c r="B248" s="338"/>
      <c r="C248" s="339">
        <v>246</v>
      </c>
      <c r="D248" s="340"/>
    </row>
    <row r="249" spans="1:4">
      <c r="A249" s="337">
        <v>247</v>
      </c>
      <c r="B249" s="338"/>
      <c r="C249" s="339">
        <v>247</v>
      </c>
      <c r="D249" s="340"/>
    </row>
    <row r="250" spans="1:4">
      <c r="A250" s="337">
        <v>248</v>
      </c>
      <c r="B250" s="338"/>
      <c r="C250" s="339">
        <v>248</v>
      </c>
      <c r="D250" s="340"/>
    </row>
    <row r="251" spans="1:4">
      <c r="A251" s="337">
        <v>249</v>
      </c>
      <c r="B251" s="338"/>
      <c r="C251" s="339">
        <v>249</v>
      </c>
      <c r="D251" s="340"/>
    </row>
    <row r="252" spans="1:4">
      <c r="A252" s="337">
        <v>250</v>
      </c>
      <c r="B252" s="338"/>
      <c r="C252" s="339">
        <v>250</v>
      </c>
      <c r="D252" s="340"/>
    </row>
    <row r="253" spans="1:4">
      <c r="A253" s="337">
        <v>251</v>
      </c>
      <c r="B253" s="338"/>
      <c r="C253" s="339">
        <v>251</v>
      </c>
      <c r="D253" s="340"/>
    </row>
    <row r="254" spans="1:4">
      <c r="A254" s="337">
        <v>252</v>
      </c>
      <c r="B254" s="338"/>
      <c r="C254" s="339">
        <v>252</v>
      </c>
      <c r="D254" s="340"/>
    </row>
    <row r="255" spans="1:4">
      <c r="A255" s="337">
        <v>253</v>
      </c>
      <c r="B255" s="338"/>
      <c r="C255" s="339">
        <v>253</v>
      </c>
      <c r="D255" s="340"/>
    </row>
    <row r="256" spans="1:4">
      <c r="A256" s="337">
        <v>254</v>
      </c>
      <c r="B256" s="338"/>
      <c r="C256" s="339">
        <v>254</v>
      </c>
      <c r="D256" s="340"/>
    </row>
    <row r="257" spans="1:4">
      <c r="A257" s="337">
        <v>255</v>
      </c>
      <c r="B257" s="338"/>
      <c r="C257" s="339">
        <v>255</v>
      </c>
      <c r="D257" s="340"/>
    </row>
    <row r="258" spans="1:4">
      <c r="A258" s="337">
        <v>256</v>
      </c>
      <c r="B258" s="338"/>
      <c r="C258" s="339">
        <v>256</v>
      </c>
      <c r="D258" s="340"/>
    </row>
    <row r="259" spans="1:4">
      <c r="A259" s="337">
        <v>257</v>
      </c>
      <c r="B259" s="338"/>
      <c r="C259" s="339">
        <v>257</v>
      </c>
      <c r="D259" s="340"/>
    </row>
    <row r="260" spans="1:4">
      <c r="A260" s="337">
        <v>258</v>
      </c>
      <c r="B260" s="338"/>
      <c r="C260" s="339">
        <v>258</v>
      </c>
      <c r="D260" s="340"/>
    </row>
    <row r="261" spans="1:4">
      <c r="A261" s="337">
        <v>259</v>
      </c>
      <c r="B261" s="338"/>
      <c r="C261" s="339">
        <v>259</v>
      </c>
      <c r="D261" s="340"/>
    </row>
    <row r="262" spans="1:4">
      <c r="A262" s="337">
        <v>260</v>
      </c>
      <c r="B262" s="338"/>
      <c r="C262" s="339">
        <v>260</v>
      </c>
      <c r="D262" s="340"/>
    </row>
    <row r="263" spans="1:4">
      <c r="A263" s="337">
        <v>261</v>
      </c>
      <c r="B263" s="338"/>
      <c r="C263" s="339">
        <v>261</v>
      </c>
      <c r="D263" s="340"/>
    </row>
    <row r="264" spans="1:4">
      <c r="A264" s="337">
        <v>262</v>
      </c>
      <c r="B264" s="338"/>
      <c r="C264" s="339">
        <v>262</v>
      </c>
      <c r="D264" s="340"/>
    </row>
    <row r="265" spans="1:4">
      <c r="A265" s="337">
        <v>263</v>
      </c>
      <c r="B265" s="338"/>
      <c r="C265" s="339">
        <v>263</v>
      </c>
      <c r="D265" s="340"/>
    </row>
    <row r="266" spans="1:4">
      <c r="A266" s="337">
        <v>264</v>
      </c>
      <c r="B266" s="338"/>
      <c r="C266" s="339">
        <v>264</v>
      </c>
      <c r="D266" s="340"/>
    </row>
    <row r="267" spans="1:4">
      <c r="A267" s="337">
        <v>265</v>
      </c>
      <c r="B267" s="338"/>
      <c r="C267" s="339">
        <v>265</v>
      </c>
      <c r="D267" s="340"/>
    </row>
    <row r="268" spans="1:4">
      <c r="A268" s="337">
        <v>266</v>
      </c>
      <c r="B268" s="338"/>
      <c r="C268" s="339">
        <v>266</v>
      </c>
      <c r="D268" s="340"/>
    </row>
    <row r="269" spans="1:4">
      <c r="A269" s="337">
        <v>267</v>
      </c>
      <c r="B269" s="338"/>
      <c r="C269" s="339">
        <v>267</v>
      </c>
      <c r="D269" s="340"/>
    </row>
    <row r="270" spans="1:4">
      <c r="A270" s="337">
        <v>268</v>
      </c>
      <c r="B270" s="338"/>
      <c r="C270" s="339">
        <v>268</v>
      </c>
      <c r="D270" s="340"/>
    </row>
    <row r="271" spans="1:4">
      <c r="A271" s="337">
        <v>269</v>
      </c>
      <c r="B271" s="338"/>
      <c r="C271" s="339">
        <v>269</v>
      </c>
      <c r="D271" s="340"/>
    </row>
    <row r="272" spans="1:4">
      <c r="A272" s="337">
        <v>270</v>
      </c>
      <c r="B272" s="338"/>
      <c r="C272" s="339">
        <v>270</v>
      </c>
      <c r="D272" s="340"/>
    </row>
    <row r="273" spans="1:4">
      <c r="A273" s="337">
        <v>271</v>
      </c>
      <c r="B273" s="338"/>
      <c r="C273" s="339">
        <v>271</v>
      </c>
      <c r="D273" s="340"/>
    </row>
    <row r="274" spans="1:4">
      <c r="A274" s="337">
        <v>272</v>
      </c>
      <c r="B274" s="338"/>
      <c r="C274" s="339">
        <v>272</v>
      </c>
      <c r="D274" s="340"/>
    </row>
    <row r="275" spans="1:4">
      <c r="A275" s="337">
        <v>273</v>
      </c>
      <c r="B275" s="338"/>
      <c r="C275" s="339">
        <v>273</v>
      </c>
      <c r="D275" s="340"/>
    </row>
    <row r="276" spans="1:4">
      <c r="A276" s="337">
        <v>274</v>
      </c>
      <c r="B276" s="338"/>
      <c r="C276" s="339">
        <v>274</v>
      </c>
      <c r="D276" s="340"/>
    </row>
    <row r="277" spans="1:4">
      <c r="A277" s="337">
        <v>275</v>
      </c>
      <c r="B277" s="338"/>
      <c r="C277" s="339">
        <v>275</v>
      </c>
      <c r="D277" s="340"/>
    </row>
    <row r="278" spans="1:4">
      <c r="A278" s="337">
        <v>276</v>
      </c>
      <c r="B278" s="338"/>
      <c r="C278" s="339">
        <v>276</v>
      </c>
      <c r="D278" s="340"/>
    </row>
    <row r="279" spans="1:4">
      <c r="A279" s="337">
        <v>277</v>
      </c>
      <c r="B279" s="338"/>
      <c r="C279" s="339">
        <v>277</v>
      </c>
      <c r="D279" s="340"/>
    </row>
    <row r="280" spans="1:4">
      <c r="A280" s="337">
        <v>278</v>
      </c>
      <c r="B280" s="338"/>
      <c r="C280" s="339">
        <v>278</v>
      </c>
      <c r="D280" s="340"/>
    </row>
    <row r="281" spans="1:4">
      <c r="A281" s="337">
        <v>279</v>
      </c>
      <c r="B281" s="338"/>
      <c r="C281" s="339">
        <v>279</v>
      </c>
      <c r="D281" s="340"/>
    </row>
    <row r="282" spans="1:4">
      <c r="A282" s="337">
        <v>280</v>
      </c>
      <c r="B282" s="338"/>
      <c r="C282" s="339">
        <v>280</v>
      </c>
      <c r="D282" s="340"/>
    </row>
    <row r="283" spans="1:4">
      <c r="A283" s="337">
        <v>281</v>
      </c>
      <c r="B283" s="338"/>
      <c r="C283" s="339">
        <v>281</v>
      </c>
      <c r="D283" s="340"/>
    </row>
    <row r="284" spans="1:4">
      <c r="A284" s="337">
        <v>282</v>
      </c>
      <c r="B284" s="338"/>
      <c r="C284" s="339">
        <v>282</v>
      </c>
      <c r="D284" s="340"/>
    </row>
    <row r="285" spans="1:4">
      <c r="A285" s="337">
        <v>283</v>
      </c>
      <c r="B285" s="338"/>
      <c r="C285" s="339">
        <v>283</v>
      </c>
      <c r="D285" s="340"/>
    </row>
    <row r="286" spans="1:4">
      <c r="A286" s="337">
        <v>284</v>
      </c>
      <c r="B286" s="338"/>
      <c r="C286" s="339">
        <v>284</v>
      </c>
      <c r="D286" s="340"/>
    </row>
    <row r="287" spans="1:4">
      <c r="A287" s="337">
        <v>285</v>
      </c>
      <c r="B287" s="338"/>
      <c r="C287" s="339">
        <v>285</v>
      </c>
      <c r="D287" s="340"/>
    </row>
    <row r="288" spans="1:4">
      <c r="A288" s="337">
        <v>286</v>
      </c>
      <c r="B288" s="338"/>
      <c r="C288" s="339">
        <v>286</v>
      </c>
      <c r="D288" s="340"/>
    </row>
    <row r="289" spans="1:4">
      <c r="A289" s="337">
        <v>287</v>
      </c>
      <c r="B289" s="338"/>
      <c r="C289" s="339">
        <v>287</v>
      </c>
      <c r="D289" s="340"/>
    </row>
    <row r="290" spans="1:4">
      <c r="A290" s="337">
        <v>288</v>
      </c>
      <c r="B290" s="338"/>
      <c r="C290" s="339">
        <v>288</v>
      </c>
      <c r="D290" s="340"/>
    </row>
    <row r="291" spans="1:4">
      <c r="A291" s="337">
        <v>289</v>
      </c>
      <c r="B291" s="338"/>
      <c r="C291" s="339">
        <v>289</v>
      </c>
      <c r="D291" s="340"/>
    </row>
    <row r="292" spans="1:4">
      <c r="A292" s="337">
        <v>290</v>
      </c>
      <c r="B292" s="338"/>
      <c r="C292" s="339">
        <v>290</v>
      </c>
      <c r="D292" s="340"/>
    </row>
    <row r="293" spans="1:4">
      <c r="A293" s="337">
        <v>291</v>
      </c>
      <c r="B293" s="338"/>
      <c r="C293" s="339">
        <v>291</v>
      </c>
      <c r="D293" s="340"/>
    </row>
    <row r="294" spans="1:4">
      <c r="A294" s="337">
        <v>292</v>
      </c>
      <c r="B294" s="338"/>
      <c r="C294" s="339">
        <v>292</v>
      </c>
      <c r="D294" s="340"/>
    </row>
    <row r="295" spans="1:4">
      <c r="A295" s="337">
        <v>293</v>
      </c>
      <c r="B295" s="338"/>
      <c r="C295" s="339">
        <v>293</v>
      </c>
      <c r="D295" s="340"/>
    </row>
    <row r="296" spans="1:4">
      <c r="A296" s="337">
        <v>294</v>
      </c>
      <c r="B296" s="338"/>
      <c r="C296" s="339">
        <v>294</v>
      </c>
      <c r="D296" s="340"/>
    </row>
    <row r="297" spans="1:4">
      <c r="A297" s="337">
        <v>295</v>
      </c>
      <c r="B297" s="338"/>
      <c r="C297" s="339">
        <v>295</v>
      </c>
      <c r="D297" s="340"/>
    </row>
    <row r="298" spans="1:4">
      <c r="A298" s="337">
        <v>296</v>
      </c>
      <c r="B298" s="338"/>
      <c r="C298" s="339">
        <v>296</v>
      </c>
      <c r="D298" s="340"/>
    </row>
    <row r="299" spans="1:4">
      <c r="A299" s="337">
        <v>297</v>
      </c>
      <c r="B299" s="338"/>
      <c r="C299" s="339">
        <v>297</v>
      </c>
      <c r="D299" s="340"/>
    </row>
    <row r="300" spans="1:4">
      <c r="A300" s="337">
        <v>298</v>
      </c>
      <c r="B300" s="338"/>
      <c r="C300" s="339">
        <v>298</v>
      </c>
      <c r="D300" s="340"/>
    </row>
    <row r="301" spans="1:4">
      <c r="A301" s="337">
        <v>299</v>
      </c>
      <c r="B301" s="338"/>
      <c r="C301" s="339">
        <v>299</v>
      </c>
      <c r="D301" s="340"/>
    </row>
    <row r="302" spans="1:4">
      <c r="A302" s="337">
        <v>300</v>
      </c>
      <c r="B302" s="338"/>
      <c r="C302" s="339">
        <v>300</v>
      </c>
      <c r="D302" s="340"/>
    </row>
  </sheetData>
  <mergeCells count="1">
    <mergeCell ref="A1:D1"/>
  </mergeCells>
  <printOptions horizontalCentered="1"/>
  <pageMargins left="0.19685039370078741" right="0.19685039370078741" top="0.19685039370078741" bottom="0.19685039370078741" header="0.31496062992125984" footer="0.31496062992125984"/>
  <pageSetup paperSize="9" scale="1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30"/>
  <sheetViews>
    <sheetView workbookViewId="0">
      <selection activeCell="D3" sqref="D3:K3"/>
    </sheetView>
  </sheetViews>
  <sheetFormatPr defaultRowHeight="12.75"/>
  <cols>
    <col min="1" max="2" width="9.140625" style="33"/>
    <col min="3" max="3" width="32.140625" style="33" customWidth="1"/>
    <col min="4" max="4" width="16.42578125" style="33" customWidth="1"/>
    <col min="5" max="5" width="12.85546875" style="33" customWidth="1"/>
    <col min="6" max="6" width="6.85546875" style="33" customWidth="1"/>
    <col min="7" max="7" width="10.28515625" style="33" customWidth="1"/>
    <col min="8" max="8" width="10" style="33" customWidth="1"/>
    <col min="9" max="9" width="13" style="33" customWidth="1"/>
    <col min="10" max="10" width="10.140625" style="33" bestFit="1" customWidth="1"/>
    <col min="11" max="11" width="24.85546875" style="33" customWidth="1"/>
    <col min="12" max="16384" width="9.140625" style="33"/>
  </cols>
  <sheetData>
    <row r="1" spans="1:15" ht="69.75" customHeight="1">
      <c r="A1" s="420"/>
      <c r="B1" s="420"/>
      <c r="C1" s="420"/>
      <c r="D1" s="420"/>
      <c r="E1" s="420"/>
      <c r="F1" s="420"/>
      <c r="G1" s="420"/>
      <c r="H1" s="420"/>
      <c r="I1" s="420"/>
      <c r="J1" s="420"/>
      <c r="K1" s="420"/>
    </row>
    <row r="2" spans="1:15" ht="48" customHeight="1">
      <c r="A2" s="421" t="s">
        <v>1800</v>
      </c>
      <c r="B2" s="422"/>
      <c r="C2" s="422"/>
      <c r="D2" s="422"/>
      <c r="E2" s="422"/>
      <c r="F2" s="422"/>
      <c r="G2" s="422"/>
      <c r="H2" s="422"/>
      <c r="I2" s="422"/>
      <c r="J2" s="422"/>
      <c r="K2" s="423"/>
    </row>
    <row r="3" spans="1:15" ht="22.5" customHeight="1">
      <c r="A3" s="424" t="s">
        <v>0</v>
      </c>
      <c r="B3" s="425"/>
      <c r="C3" s="426"/>
      <c r="D3" s="427"/>
      <c r="E3" s="427"/>
      <c r="F3" s="427"/>
      <c r="G3" s="427"/>
      <c r="H3" s="427"/>
      <c r="I3" s="427"/>
      <c r="J3" s="427"/>
      <c r="K3" s="427"/>
    </row>
    <row r="4" spans="1:15" ht="22.5" customHeight="1">
      <c r="A4" s="413" t="s">
        <v>142</v>
      </c>
      <c r="B4" s="413"/>
      <c r="C4" s="413"/>
      <c r="D4" s="429"/>
      <c r="E4" s="430"/>
      <c r="F4" s="430"/>
      <c r="G4" s="430"/>
      <c r="H4" s="430"/>
      <c r="I4" s="430"/>
      <c r="J4" s="430"/>
      <c r="K4" s="430"/>
      <c r="O4" s="335"/>
    </row>
    <row r="5" spans="1:15" ht="22.5" customHeight="1">
      <c r="A5" s="428"/>
      <c r="B5" s="428"/>
      <c r="C5" s="428"/>
      <c r="D5" s="430"/>
      <c r="E5" s="430"/>
      <c r="F5" s="430"/>
      <c r="G5" s="430"/>
      <c r="H5" s="430"/>
      <c r="I5" s="430"/>
      <c r="J5" s="430"/>
      <c r="K5" s="430"/>
    </row>
    <row r="6" spans="1:15" ht="22.5" customHeight="1">
      <c r="A6" s="413" t="s">
        <v>230</v>
      </c>
      <c r="B6" s="413"/>
      <c r="C6" s="413"/>
      <c r="D6" s="415"/>
      <c r="E6" s="415"/>
      <c r="F6" s="415"/>
      <c r="G6" s="415"/>
      <c r="H6" s="415"/>
      <c r="I6" s="415"/>
      <c r="J6" s="415"/>
      <c r="K6" s="415"/>
    </row>
    <row r="7" spans="1:15" ht="22.5" customHeight="1">
      <c r="A7" s="413" t="s">
        <v>1031</v>
      </c>
      <c r="B7" s="413"/>
      <c r="C7" s="413"/>
      <c r="D7" s="419"/>
      <c r="E7" s="419"/>
      <c r="F7" s="419"/>
      <c r="G7" s="419"/>
      <c r="H7" s="419"/>
      <c r="I7" s="419"/>
      <c r="J7" s="419"/>
      <c r="K7" s="419"/>
    </row>
    <row r="8" spans="1:15" ht="22.5" customHeight="1">
      <c r="A8" s="413" t="s">
        <v>143</v>
      </c>
      <c r="B8" s="413"/>
      <c r="C8" s="413"/>
      <c r="D8" s="433"/>
      <c r="E8" s="433"/>
      <c r="F8" s="433"/>
      <c r="G8" s="433"/>
      <c r="H8" s="433"/>
      <c r="I8" s="433"/>
      <c r="J8" s="433"/>
      <c r="K8" s="433"/>
    </row>
    <row r="9" spans="1:15" ht="22.5" customHeight="1">
      <c r="A9" s="413" t="s">
        <v>168</v>
      </c>
      <c r="B9" s="413"/>
      <c r="C9" s="413"/>
      <c r="D9" s="434" t="s">
        <v>422</v>
      </c>
      <c r="E9" s="435"/>
      <c r="F9" s="435"/>
      <c r="G9" s="435"/>
      <c r="H9" s="435"/>
      <c r="I9" s="435"/>
      <c r="J9" s="435"/>
      <c r="K9" s="436"/>
    </row>
    <row r="10" spans="1:15" s="81" customFormat="1" ht="22.5" customHeight="1">
      <c r="A10" s="413"/>
      <c r="B10" s="413"/>
      <c r="C10" s="413"/>
      <c r="D10" s="418" t="s">
        <v>996</v>
      </c>
      <c r="E10" s="418"/>
      <c r="F10" s="418"/>
      <c r="G10" s="416" t="s">
        <v>995</v>
      </c>
      <c r="H10" s="416"/>
      <c r="I10" s="416"/>
      <c r="J10" s="416"/>
      <c r="K10" s="362" t="s">
        <v>1794</v>
      </c>
    </row>
    <row r="11" spans="1:15" s="81" customFormat="1" ht="22.5" customHeight="1">
      <c r="A11" s="414"/>
      <c r="B11" s="414"/>
      <c r="C11" s="414"/>
      <c r="D11" s="418" t="s">
        <v>994</v>
      </c>
      <c r="E11" s="418"/>
      <c r="F11" s="418"/>
      <c r="G11" s="417" t="s">
        <v>995</v>
      </c>
      <c r="H11" s="417"/>
      <c r="I11" s="417"/>
      <c r="J11" s="417"/>
      <c r="K11" s="362" t="s">
        <v>1794</v>
      </c>
    </row>
    <row r="12" spans="1:15" ht="23.25">
      <c r="A12" s="424" t="s">
        <v>169</v>
      </c>
      <c r="B12" s="425"/>
      <c r="C12" s="426"/>
      <c r="D12" s="437"/>
      <c r="E12" s="438"/>
      <c r="F12" s="438"/>
      <c r="G12" s="438"/>
      <c r="H12" s="438"/>
      <c r="I12" s="438"/>
      <c r="J12" s="438"/>
      <c r="K12" s="439"/>
    </row>
    <row r="14" spans="1:15">
      <c r="A14" s="440" t="s">
        <v>170</v>
      </c>
      <c r="B14" s="440"/>
      <c r="C14" s="440"/>
      <c r="D14" s="440"/>
      <c r="E14" s="440"/>
      <c r="F14" s="440"/>
      <c r="G14" s="440"/>
      <c r="H14" s="440"/>
      <c r="I14" s="440"/>
      <c r="J14" s="440"/>
      <c r="K14" s="440"/>
    </row>
    <row r="15" spans="1:15">
      <c r="A15" s="432" t="s">
        <v>171</v>
      </c>
      <c r="B15" s="432"/>
      <c r="C15" s="432"/>
      <c r="D15" s="97" t="s">
        <v>177</v>
      </c>
      <c r="E15" s="97" t="s">
        <v>172</v>
      </c>
      <c r="G15" s="432" t="s">
        <v>171</v>
      </c>
      <c r="H15" s="432"/>
      <c r="I15" s="432"/>
      <c r="J15" s="97" t="s">
        <v>207</v>
      </c>
      <c r="K15" s="97" t="s">
        <v>172</v>
      </c>
    </row>
    <row r="16" spans="1:15" ht="18" hidden="1">
      <c r="A16" s="431" t="s">
        <v>1081</v>
      </c>
      <c r="B16" s="431"/>
      <c r="C16" s="431"/>
      <c r="D16" s="94">
        <f>SUM('25mm Aluminium Blinds'!C8:C57)</f>
        <v>0</v>
      </c>
      <c r="E16" s="180" t="s">
        <v>179</v>
      </c>
    </row>
    <row r="17" spans="1:11" ht="18">
      <c r="A17" s="431" t="s">
        <v>1077</v>
      </c>
      <c r="B17" s="431"/>
      <c r="C17" s="431"/>
      <c r="D17" s="94">
        <f>SUM('50mm &amp; 63mm Venetian Blinds'!C8:C57)</f>
        <v>0</v>
      </c>
      <c r="E17" s="181" t="s">
        <v>175</v>
      </c>
      <c r="G17" s="431" t="s">
        <v>386</v>
      </c>
      <c r="H17" s="431"/>
      <c r="I17" s="431"/>
      <c r="J17" s="95" t="str">
        <f>IF(COUNTA('CMB Corner WS'!A27:J57)&gt;0,"YES","")</f>
        <v/>
      </c>
      <c r="K17" s="183" t="s">
        <v>384</v>
      </c>
    </row>
    <row r="18" spans="1:11" ht="18" hidden="1">
      <c r="A18" s="431" t="s">
        <v>173</v>
      </c>
      <c r="B18" s="431"/>
      <c r="C18" s="431"/>
      <c r="D18" s="93">
        <f>SUM('Roller Blinds'!C8:C57)</f>
        <v>0</v>
      </c>
      <c r="E18" s="178" t="s">
        <v>178</v>
      </c>
      <c r="G18" s="96"/>
      <c r="H18" s="96"/>
      <c r="I18" s="96"/>
      <c r="J18" s="91"/>
      <c r="K18" s="92"/>
    </row>
    <row r="19" spans="1:11" ht="18" hidden="1">
      <c r="A19" s="431" t="s">
        <v>186</v>
      </c>
      <c r="B19" s="431"/>
      <c r="C19" s="431"/>
      <c r="D19" s="93">
        <f>SUM('Vertical Blinds'!C7:C26)</f>
        <v>0</v>
      </c>
      <c r="E19" s="182" t="s">
        <v>187</v>
      </c>
    </row>
    <row r="20" spans="1:11" ht="18">
      <c r="A20" s="431" t="s">
        <v>1171</v>
      </c>
      <c r="B20" s="431"/>
      <c r="C20" s="431"/>
      <c r="D20" s="93">
        <f>SUM('Cellular Blinds'!C8:C57)</f>
        <v>0</v>
      </c>
      <c r="E20" s="259" t="s">
        <v>1397</v>
      </c>
      <c r="G20" s="431" t="s">
        <v>387</v>
      </c>
      <c r="H20" s="431"/>
      <c r="I20" s="431"/>
      <c r="J20" s="95" t="str">
        <f>IF(COUNTA('CMB Bay WS'!A27:L57)&gt;0,"YES","")</f>
        <v/>
      </c>
      <c r="K20" s="179" t="s">
        <v>385</v>
      </c>
    </row>
    <row r="21" spans="1:11" ht="18">
      <c r="A21" s="431" t="s">
        <v>1774</v>
      </c>
      <c r="B21" s="431"/>
      <c r="C21" s="431"/>
      <c r="D21" s="95">
        <f>SUM('Transition Blinds'!C8:C57)</f>
        <v>0</v>
      </c>
      <c r="E21" s="334" t="s">
        <v>1775</v>
      </c>
      <c r="G21" s="443"/>
      <c r="H21" s="443"/>
      <c r="I21" s="443"/>
      <c r="J21" s="443"/>
      <c r="K21" s="443"/>
    </row>
    <row r="22" spans="1:11" ht="18.75">
      <c r="A22" s="431" t="s">
        <v>1925</v>
      </c>
      <c r="B22" s="431"/>
      <c r="C22" s="431"/>
      <c r="D22" s="95">
        <f>COUNT('Shutters Page 1'!C9:C23)+COUNT(#REF!)+COUNT(#REF!)</f>
        <v>0</v>
      </c>
      <c r="E22" s="184" t="s">
        <v>174</v>
      </c>
      <c r="G22" s="444" t="s">
        <v>968</v>
      </c>
      <c r="H22" s="444"/>
      <c r="I22" s="444"/>
      <c r="J22" s="444"/>
      <c r="K22" s="444"/>
    </row>
    <row r="23" spans="1:11" ht="18.75">
      <c r="A23" s="431" t="s">
        <v>1926</v>
      </c>
      <c r="B23" s="431"/>
      <c r="C23" s="431"/>
      <c r="D23" s="95">
        <f>'Shutters Page 1'!AE1</f>
        <v>0</v>
      </c>
      <c r="E23" s="399" t="s">
        <v>174</v>
      </c>
      <c r="G23" s="454" t="s">
        <v>1530</v>
      </c>
      <c r="H23" s="454"/>
      <c r="I23" s="454"/>
      <c r="J23" s="454"/>
      <c r="K23" s="454"/>
    </row>
    <row r="25" spans="1:11">
      <c r="G25" s="448" t="s">
        <v>864</v>
      </c>
      <c r="H25" s="449"/>
      <c r="I25" s="449"/>
      <c r="J25" s="449"/>
      <c r="K25" s="450"/>
    </row>
    <row r="26" spans="1:11" ht="18">
      <c r="G26" s="451" t="s">
        <v>1530</v>
      </c>
      <c r="H26" s="452"/>
      <c r="I26" s="452"/>
      <c r="J26" s="452"/>
      <c r="K26" s="453"/>
    </row>
    <row r="28" spans="1:11">
      <c r="G28" s="445" t="s">
        <v>1035</v>
      </c>
      <c r="H28" s="446"/>
      <c r="I28" s="446"/>
      <c r="J28" s="447"/>
      <c r="K28" s="286">
        <v>27</v>
      </c>
    </row>
    <row r="30" spans="1:11" ht="39" customHeight="1">
      <c r="A30" s="441" t="s">
        <v>1088</v>
      </c>
      <c r="B30" s="442"/>
      <c r="C30" s="442"/>
      <c r="D30" s="442"/>
      <c r="E30" s="442"/>
      <c r="F30" s="442"/>
      <c r="G30" s="442"/>
      <c r="H30" s="442"/>
      <c r="I30" s="442"/>
      <c r="J30" s="442"/>
      <c r="K30" s="442"/>
    </row>
  </sheetData>
  <sheetProtection selectLockedCells="1"/>
  <protectedRanges>
    <protectedRange sqref="D4" name="Range8"/>
    <protectedRange sqref="J18" name="Range6"/>
    <protectedRange sqref="D12 D3 D5:D7" name="Range5"/>
    <protectedRange sqref="D9" name="Range1"/>
    <protectedRange sqref="D8" name="Range4"/>
    <protectedRange sqref="J26 J23" name="Range6_1"/>
    <protectedRange sqref="J26 J23" name="Range7"/>
    <protectedRange sqref="J20 J17" name="Range6_1_1"/>
    <protectedRange sqref="J20 J17" name="Range7_1"/>
  </protectedRanges>
  <mergeCells count="40">
    <mergeCell ref="A30:K30"/>
    <mergeCell ref="A17:C17"/>
    <mergeCell ref="G21:K21"/>
    <mergeCell ref="G22:K22"/>
    <mergeCell ref="A16:C16"/>
    <mergeCell ref="G28:J28"/>
    <mergeCell ref="A21:C21"/>
    <mergeCell ref="G25:K25"/>
    <mergeCell ref="G20:I20"/>
    <mergeCell ref="A19:C19"/>
    <mergeCell ref="A18:C18"/>
    <mergeCell ref="G17:I17"/>
    <mergeCell ref="A20:C20"/>
    <mergeCell ref="G26:K26"/>
    <mergeCell ref="A22:C22"/>
    <mergeCell ref="G23:K23"/>
    <mergeCell ref="A23:C23"/>
    <mergeCell ref="A15:C15"/>
    <mergeCell ref="G15:I15"/>
    <mergeCell ref="D8:K8"/>
    <mergeCell ref="D9:K9"/>
    <mergeCell ref="A12:C12"/>
    <mergeCell ref="D12:K12"/>
    <mergeCell ref="A14:K14"/>
    <mergeCell ref="A1:K1"/>
    <mergeCell ref="A2:K2"/>
    <mergeCell ref="A3:C3"/>
    <mergeCell ref="D3:K3"/>
    <mergeCell ref="A4:C5"/>
    <mergeCell ref="D4:K5"/>
    <mergeCell ref="A6:C6"/>
    <mergeCell ref="A9:C11"/>
    <mergeCell ref="D6:K6"/>
    <mergeCell ref="G10:J10"/>
    <mergeCell ref="G11:J11"/>
    <mergeCell ref="D10:F10"/>
    <mergeCell ref="D7:K7"/>
    <mergeCell ref="A8:C8"/>
    <mergeCell ref="D11:F11"/>
    <mergeCell ref="A7:C7"/>
  </mergeCells>
  <conditionalFormatting sqref="J17 J20">
    <cfRule type="containsText" dxfId="143" priority="2" stopIfTrue="1" operator="containsText" text="YES">
      <formula>NOT(ISERROR(SEARCH("YES",J17)))</formula>
    </cfRule>
  </conditionalFormatting>
  <dataValidations count="8">
    <dataValidation type="list" allowBlank="1" showInputMessage="1" showErrorMessage="1" errorTitle="Invalid Entry" error="Invalid Entry" sqref="G26:K26 G23:K23" xr:uid="{00000000-0002-0000-0100-000000000000}">
      <formula1>Pacific_Sales_Coordinator</formula1>
    </dataValidation>
    <dataValidation type="list" errorStyle="information" allowBlank="1" showErrorMessage="1" errorTitle="Alert" error="Warning - Non Default Delivery Address" sqref="D4:K5" xr:uid="{00000000-0002-0000-0100-000001000000}">
      <formula1>Delivery_Address</formula1>
    </dataValidation>
    <dataValidation type="list" errorStyle="information" allowBlank="1" showErrorMessage="1" errorTitle="Alert" error="Warning - Non Default Store Name" sqref="D3:K3" xr:uid="{00000000-0002-0000-0100-000002000000}">
      <formula1>Store_Name</formula1>
    </dataValidation>
    <dataValidation type="list" allowBlank="1" showInputMessage="1" showErrorMessage="1" errorTitle="Invalid Entry" error="Invalid Entry" sqref="K10" xr:uid="{00000000-0002-0000-0100-000003000000}">
      <formula1>CMBPhone</formula1>
    </dataValidation>
    <dataValidation type="list" allowBlank="1" showInputMessage="1" showErrorMessage="1" errorTitle="Invalid Entry" error="Invalid Entry" sqref="K11" xr:uid="{00000000-0002-0000-0100-000004000000}">
      <formula1>ShutterPhone</formula1>
    </dataValidation>
    <dataValidation type="list" allowBlank="1" showInputMessage="1" showErrorMessage="1" errorTitle="Invalid Entry" error="Invalid Entry" sqref="G10:J10" xr:uid="{00000000-0002-0000-0100-000005000000}">
      <formula1>CMBEmail</formula1>
    </dataValidation>
    <dataValidation type="list" allowBlank="1" showInputMessage="1" showErrorMessage="1" errorTitle="Invalid Entry" error="Invalid Entry" sqref="G11:J11" xr:uid="{00000000-0002-0000-0100-000006000000}">
      <formula1>ShutterEmail</formula1>
    </dataValidation>
    <dataValidation allowBlank="1" showInputMessage="1" sqref="J17 J20" xr:uid="{00000000-0002-0000-0100-000007000000}"/>
  </dataValidations>
  <printOptions horizontalCentered="1"/>
  <pageMargins left="0.55118110236220474" right="0.43307086614173229" top="0.23622047244094491" bottom="0.23622047244094491" header="0.15748031496062992" footer="0.15748031496062992"/>
  <pageSetup paperSize="9" scale="9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9" tint="-0.249977111117893"/>
    <pageSetUpPr fitToPage="1"/>
  </sheetPr>
  <dimension ref="A1:AC58"/>
  <sheetViews>
    <sheetView view="pageBreakPreview" zoomScale="85" zoomScaleSheetLayoutView="85" workbookViewId="0">
      <selection activeCell="B8" sqref="B8"/>
    </sheetView>
  </sheetViews>
  <sheetFormatPr defaultRowHeight="15"/>
  <cols>
    <col min="1" max="1" width="7.42578125" style="55" customWidth="1"/>
    <col min="2" max="2" width="13" style="55" customWidth="1"/>
    <col min="3" max="3" width="6.28515625" style="55" customWidth="1"/>
    <col min="4" max="4" width="18.5703125" style="55" customWidth="1"/>
    <col min="5" max="5" width="27.140625" style="55" customWidth="1"/>
    <col min="6" max="6" width="13" style="55" customWidth="1"/>
    <col min="7" max="7" width="12.42578125" style="55" customWidth="1"/>
    <col min="8" max="8" width="16.28515625" style="55" customWidth="1"/>
    <col min="9" max="9" width="14.7109375" style="55" customWidth="1"/>
    <col min="10" max="10" width="10.42578125" style="55" customWidth="1"/>
    <col min="11" max="11" width="4.28515625" style="55" customWidth="1"/>
    <col min="12" max="12" width="13.5703125" style="55" customWidth="1"/>
    <col min="13" max="13" width="14.42578125" style="55" customWidth="1"/>
    <col min="14" max="14" width="14" style="55" customWidth="1"/>
    <col min="15" max="15" width="7.140625" style="55" customWidth="1"/>
    <col min="16" max="16" width="6.140625" style="55" customWidth="1"/>
    <col min="17" max="17" width="15.28515625" style="55" customWidth="1"/>
    <col min="18" max="18" width="15.140625" style="55" customWidth="1"/>
    <col min="19" max="20" width="14.7109375" style="55" customWidth="1"/>
    <col min="21" max="21" width="40.42578125" style="55" customWidth="1"/>
    <col min="22" max="22" width="15" style="55" customWidth="1"/>
    <col min="23" max="23" width="43.42578125" style="55" customWidth="1"/>
    <col min="24" max="25" width="9.140625" style="33"/>
    <col min="26" max="27" width="9.140625" style="33" hidden="1" customWidth="1"/>
    <col min="28" max="28" width="40.42578125" style="33" hidden="1" customWidth="1"/>
    <col min="29" max="29" width="42.28515625" style="33" hidden="1" customWidth="1"/>
    <col min="30" max="39" width="0" style="33" hidden="1" customWidth="1"/>
    <col min="40" max="16384" width="9.140625" style="33"/>
  </cols>
  <sheetData>
    <row r="1" spans="1:29" ht="26.25">
      <c r="A1" s="463"/>
      <c r="B1" s="464"/>
      <c r="C1" s="464"/>
      <c r="D1" s="464"/>
      <c r="E1" s="464"/>
      <c r="F1" s="464"/>
      <c r="G1" s="464"/>
      <c r="H1" s="464"/>
      <c r="I1" s="465"/>
      <c r="J1" s="59"/>
      <c r="K1" s="59"/>
      <c r="L1" s="457" t="s">
        <v>0</v>
      </c>
      <c r="M1" s="457"/>
      <c r="N1" s="466">
        <f>Summary!D3</f>
        <v>0</v>
      </c>
      <c r="O1" s="467"/>
      <c r="P1" s="467"/>
      <c r="Q1" s="467"/>
      <c r="R1" s="467"/>
      <c r="S1" s="467"/>
      <c r="T1" s="467"/>
      <c r="U1" s="60"/>
      <c r="V1" s="461"/>
      <c r="W1" s="416"/>
    </row>
    <row r="2" spans="1:29" ht="19.5">
      <c r="A2" s="28"/>
      <c r="B2" s="29"/>
      <c r="C2" s="29"/>
      <c r="D2" s="29"/>
      <c r="E2" s="29"/>
      <c r="F2" s="468" t="s">
        <v>183</v>
      </c>
      <c r="G2" s="468"/>
      <c r="H2" s="468"/>
      <c r="I2" s="469"/>
      <c r="J2" s="61"/>
      <c r="K2" s="61"/>
      <c r="L2" s="457" t="s">
        <v>141</v>
      </c>
      <c r="M2" s="457"/>
      <c r="N2" s="470">
        <f>Summary!D6</f>
        <v>0</v>
      </c>
      <c r="O2" s="471"/>
      <c r="P2" s="471"/>
      <c r="Q2" s="471"/>
      <c r="R2" s="471"/>
      <c r="S2" s="471"/>
      <c r="T2" s="471"/>
      <c r="U2" s="62"/>
      <c r="V2" s="461"/>
      <c r="W2" s="416"/>
    </row>
    <row r="3" spans="1:29" ht="17.25" customHeight="1">
      <c r="A3" s="7"/>
      <c r="B3" s="8"/>
      <c r="C3" s="8"/>
      <c r="D3" s="8"/>
      <c r="E3" s="8"/>
      <c r="F3" s="455"/>
      <c r="G3" s="455"/>
      <c r="H3" s="455"/>
      <c r="I3" s="456"/>
      <c r="J3" s="59"/>
      <c r="K3" s="59"/>
      <c r="L3" s="457" t="s">
        <v>142</v>
      </c>
      <c r="M3" s="457"/>
      <c r="N3" s="458">
        <f>Summary!D4</f>
        <v>0</v>
      </c>
      <c r="O3" s="459"/>
      <c r="P3" s="459"/>
      <c r="Q3" s="459"/>
      <c r="R3" s="459"/>
      <c r="S3" s="459"/>
      <c r="T3" s="460"/>
      <c r="U3" s="62"/>
      <c r="V3" s="63"/>
      <c r="W3" s="64"/>
    </row>
    <row r="4" spans="1:29" ht="17.25" customHeight="1">
      <c r="A4" s="472" t="s">
        <v>458</v>
      </c>
      <c r="B4" s="472"/>
      <c r="C4" s="472"/>
      <c r="D4" s="473"/>
      <c r="E4" s="474"/>
      <c r="F4" s="472" t="s">
        <v>457</v>
      </c>
      <c r="G4" s="472"/>
      <c r="H4" s="475"/>
      <c r="I4" s="476"/>
      <c r="J4" s="61"/>
      <c r="K4" s="61"/>
      <c r="L4" s="457" t="s">
        <v>973</v>
      </c>
      <c r="M4" s="457"/>
      <c r="N4" s="477">
        <f>Summary!D7</f>
        <v>0</v>
      </c>
      <c r="O4" s="478"/>
      <c r="P4" s="478"/>
      <c r="Q4" s="478"/>
      <c r="R4" s="478"/>
      <c r="S4" s="478"/>
      <c r="T4" s="479"/>
      <c r="U4" s="62"/>
      <c r="V4" s="461"/>
      <c r="W4" s="462"/>
    </row>
    <row r="5" spans="1:29" ht="17.25" customHeight="1">
      <c r="A5" s="101" t="s">
        <v>421</v>
      </c>
      <c r="B5" s="102"/>
      <c r="C5" s="102"/>
      <c r="D5" s="487" t="s">
        <v>211</v>
      </c>
      <c r="E5" s="488"/>
      <c r="F5" s="488"/>
      <c r="G5" s="488"/>
      <c r="H5" s="488"/>
      <c r="I5" s="489"/>
      <c r="J5" s="61"/>
      <c r="K5" s="61"/>
      <c r="L5" s="457" t="s">
        <v>143</v>
      </c>
      <c r="M5" s="457"/>
      <c r="N5" s="490">
        <f>Summary!D8</f>
        <v>0</v>
      </c>
      <c r="O5" s="491"/>
      <c r="P5" s="491"/>
      <c r="Q5" s="491"/>
      <c r="R5" s="491"/>
      <c r="S5" s="491"/>
      <c r="T5" s="491"/>
      <c r="U5" s="65"/>
      <c r="V5" s="461"/>
      <c r="W5" s="462"/>
    </row>
    <row r="6" spans="1:29" ht="15.75" thickBot="1">
      <c r="F6" s="60"/>
      <c r="L6" s="496" t="s">
        <v>654</v>
      </c>
      <c r="M6" s="496"/>
      <c r="N6" s="497" t="str">
        <f>AB18</f>
        <v/>
      </c>
      <c r="O6" s="497"/>
      <c r="P6" s="497"/>
      <c r="Q6" s="497"/>
      <c r="R6" s="497"/>
      <c r="S6" s="497"/>
      <c r="T6" s="497"/>
      <c r="W6" s="66"/>
    </row>
    <row r="7" spans="1:29" ht="45" customHeight="1" thickTop="1" thickBot="1">
      <c r="A7" s="67" t="s">
        <v>144</v>
      </c>
      <c r="B7" s="68" t="s">
        <v>145</v>
      </c>
      <c r="C7" s="68" t="s">
        <v>162</v>
      </c>
      <c r="D7" s="68" t="s">
        <v>180</v>
      </c>
      <c r="E7" s="68" t="s">
        <v>150</v>
      </c>
      <c r="F7" s="68" t="s">
        <v>146</v>
      </c>
      <c r="G7" s="69" t="s">
        <v>147</v>
      </c>
      <c r="H7" s="70" t="s">
        <v>14</v>
      </c>
      <c r="I7" s="70" t="s">
        <v>163</v>
      </c>
      <c r="J7" s="492" t="s">
        <v>13</v>
      </c>
      <c r="K7" s="493"/>
      <c r="L7" s="69" t="s">
        <v>10</v>
      </c>
      <c r="M7" s="68" t="s">
        <v>12</v>
      </c>
      <c r="N7" s="68" t="s">
        <v>182</v>
      </c>
      <c r="O7" s="494" t="s">
        <v>15</v>
      </c>
      <c r="P7" s="495"/>
      <c r="Q7" s="68" t="s">
        <v>4</v>
      </c>
      <c r="R7" s="68" t="s">
        <v>5</v>
      </c>
      <c r="S7" s="68" t="s">
        <v>6</v>
      </c>
      <c r="T7" s="68" t="s">
        <v>7</v>
      </c>
      <c r="U7" s="71" t="s">
        <v>203</v>
      </c>
      <c r="V7" s="235"/>
      <c r="W7" s="235"/>
    </row>
    <row r="8" spans="1:29" ht="30" customHeight="1" thickTop="1">
      <c r="A8" s="51">
        <v>1</v>
      </c>
      <c r="B8" s="100"/>
      <c r="C8" s="23"/>
      <c r="D8" s="25"/>
      <c r="E8" s="72"/>
      <c r="F8" s="41"/>
      <c r="G8" s="42"/>
      <c r="H8" s="24"/>
      <c r="I8" s="24"/>
      <c r="J8" s="480"/>
      <c r="K8" s="481"/>
      <c r="L8" s="11"/>
      <c r="M8" s="11"/>
      <c r="N8" s="11"/>
      <c r="O8" s="482"/>
      <c r="P8" s="483"/>
      <c r="Q8" s="25"/>
      <c r="R8" s="25"/>
      <c r="S8" s="25"/>
      <c r="T8" s="25"/>
      <c r="U8" s="188"/>
      <c r="V8" s="236"/>
      <c r="W8" s="237"/>
      <c r="AA8" s="33" t="str">
        <f>IF(AND(C8&gt;0,N8=""),"Enter","OK")</f>
        <v>OK</v>
      </c>
      <c r="AB8" s="33" t="str">
        <f>IF(COUNTIF($H$8:$H$57,Data!KF3),Data!KG3,"")</f>
        <v/>
      </c>
      <c r="AC8" s="33" t="str">
        <f>IF(SUM(--ISNUMBER(SEARCH({"Bay","Corner"}, H8:H17))),"Yes","No")</f>
        <v>No</v>
      </c>
    </row>
    <row r="9" spans="1:29" ht="30" customHeight="1">
      <c r="A9" s="52">
        <v>2</v>
      </c>
      <c r="B9" s="19"/>
      <c r="C9" s="27"/>
      <c r="D9" s="13"/>
      <c r="E9" s="73"/>
      <c r="F9" s="14"/>
      <c r="G9" s="14"/>
      <c r="H9" s="14"/>
      <c r="I9" s="14"/>
      <c r="J9" s="484"/>
      <c r="K9" s="485"/>
      <c r="L9" s="15"/>
      <c r="M9" s="15"/>
      <c r="N9" s="15"/>
      <c r="O9" s="486"/>
      <c r="P9" s="486"/>
      <c r="Q9" s="19"/>
      <c r="R9" s="13"/>
      <c r="S9" s="13"/>
      <c r="T9" s="13"/>
      <c r="U9" s="186"/>
      <c r="V9" s="236"/>
      <c r="W9" s="237"/>
      <c r="AA9" s="33" t="str">
        <f t="shared" ref="AA9:AA57" si="0">IF(AND(C9&gt;0,N9=""),"Enter","OK")</f>
        <v>OK</v>
      </c>
      <c r="AB9" s="33" t="str">
        <f>IF(COUNTIF($H$8:$H$57,Data!KF4),Data!KG4,"")</f>
        <v/>
      </c>
    </row>
    <row r="10" spans="1:29" ht="30" customHeight="1">
      <c r="A10" s="53">
        <v>3</v>
      </c>
      <c r="B10" s="17"/>
      <c r="C10" s="17"/>
      <c r="D10" s="13"/>
      <c r="E10" s="73"/>
      <c r="F10" s="14"/>
      <c r="G10" s="14"/>
      <c r="H10" s="14"/>
      <c r="I10" s="14"/>
      <c r="J10" s="484"/>
      <c r="K10" s="485"/>
      <c r="L10" s="15"/>
      <c r="M10" s="15"/>
      <c r="N10" s="15"/>
      <c r="O10" s="486"/>
      <c r="P10" s="486"/>
      <c r="Q10" s="13"/>
      <c r="R10" s="13"/>
      <c r="S10" s="13"/>
      <c r="T10" s="13"/>
      <c r="U10" s="186"/>
      <c r="V10" s="236"/>
      <c r="W10" s="237"/>
      <c r="AA10" s="33" t="str">
        <f t="shared" si="0"/>
        <v>OK</v>
      </c>
      <c r="AB10" s="33" t="str">
        <f>IF(COUNTIF($H$8:$H$57,Data!KF5),Data!KG5,"")</f>
        <v/>
      </c>
    </row>
    <row r="11" spans="1:29" ht="30" customHeight="1">
      <c r="A11" s="53">
        <v>4</v>
      </c>
      <c r="B11" s="17"/>
      <c r="C11" s="17"/>
      <c r="D11" s="13"/>
      <c r="E11" s="73"/>
      <c r="F11" s="14"/>
      <c r="G11" s="14"/>
      <c r="H11" s="14"/>
      <c r="I11" s="14"/>
      <c r="J11" s="484"/>
      <c r="K11" s="485"/>
      <c r="L11" s="15"/>
      <c r="M11" s="15"/>
      <c r="N11" s="15"/>
      <c r="O11" s="486"/>
      <c r="P11" s="486"/>
      <c r="Q11" s="13"/>
      <c r="R11" s="13"/>
      <c r="S11" s="13"/>
      <c r="T11" s="13"/>
      <c r="U11" s="186"/>
      <c r="V11" s="236"/>
      <c r="W11" s="237"/>
      <c r="AA11" s="33" t="str">
        <f t="shared" si="0"/>
        <v>OK</v>
      </c>
      <c r="AB11" s="33" t="str">
        <f>IF(COUNTIF($H$8:$H$57,Data!KF6),Data!KG6,"")</f>
        <v/>
      </c>
    </row>
    <row r="12" spans="1:29" ht="30" customHeight="1">
      <c r="A12" s="53">
        <v>5</v>
      </c>
      <c r="B12" s="17"/>
      <c r="C12" s="17"/>
      <c r="D12" s="13"/>
      <c r="E12" s="73"/>
      <c r="F12" s="14"/>
      <c r="G12" s="14"/>
      <c r="H12" s="14"/>
      <c r="I12" s="14"/>
      <c r="J12" s="484"/>
      <c r="K12" s="485"/>
      <c r="L12" s="15"/>
      <c r="M12" s="15"/>
      <c r="N12" s="15"/>
      <c r="O12" s="486"/>
      <c r="P12" s="486"/>
      <c r="Q12" s="13"/>
      <c r="R12" s="13"/>
      <c r="S12" s="13"/>
      <c r="T12" s="13"/>
      <c r="U12" s="186"/>
      <c r="V12" s="236"/>
      <c r="W12" s="237"/>
      <c r="AA12" s="33" t="str">
        <f t="shared" si="0"/>
        <v>OK</v>
      </c>
      <c r="AB12" s="33" t="str">
        <f>IF(COUNTIF($H$8:$H$57,Data!KF7),Data!KG7,"")</f>
        <v/>
      </c>
    </row>
    <row r="13" spans="1:29" ht="30" customHeight="1">
      <c r="A13" s="53">
        <v>6</v>
      </c>
      <c r="B13" s="17"/>
      <c r="C13" s="17"/>
      <c r="D13" s="13"/>
      <c r="E13" s="73"/>
      <c r="F13" s="14"/>
      <c r="G13" s="14"/>
      <c r="H13" s="14"/>
      <c r="I13" s="14"/>
      <c r="J13" s="484"/>
      <c r="K13" s="485"/>
      <c r="L13" s="15"/>
      <c r="M13" s="15"/>
      <c r="N13" s="15"/>
      <c r="O13" s="486"/>
      <c r="P13" s="486"/>
      <c r="Q13" s="13"/>
      <c r="R13" s="13"/>
      <c r="S13" s="13"/>
      <c r="T13" s="13"/>
      <c r="U13" s="186"/>
      <c r="V13" s="236"/>
      <c r="W13" s="237"/>
      <c r="AA13" s="33" t="str">
        <f t="shared" si="0"/>
        <v>OK</v>
      </c>
      <c r="AB13" s="33" t="str">
        <f>IF(COUNTIF($H$8:$H$57,Data!KF8),Data!KG8,"")</f>
        <v/>
      </c>
    </row>
    <row r="14" spans="1:29" ht="30" customHeight="1">
      <c r="A14" s="53">
        <v>7</v>
      </c>
      <c r="B14" s="20"/>
      <c r="C14" s="17"/>
      <c r="D14" s="19"/>
      <c r="E14" s="73"/>
      <c r="F14" s="14"/>
      <c r="G14" s="14"/>
      <c r="H14" s="14"/>
      <c r="I14" s="14"/>
      <c r="J14" s="484"/>
      <c r="K14" s="485"/>
      <c r="L14" s="15"/>
      <c r="M14" s="15"/>
      <c r="N14" s="15"/>
      <c r="O14" s="486"/>
      <c r="P14" s="486"/>
      <c r="Q14" s="13"/>
      <c r="R14" s="19"/>
      <c r="S14" s="13"/>
      <c r="T14" s="13"/>
      <c r="U14" s="186"/>
      <c r="V14" s="236"/>
      <c r="W14" s="237"/>
      <c r="AA14" s="33" t="str">
        <f t="shared" si="0"/>
        <v>OK</v>
      </c>
      <c r="AB14" s="33" t="str">
        <f>IF(COUNTIF($H$8:$H$57,Data!KF9),Data!KG9,"")</f>
        <v/>
      </c>
    </row>
    <row r="15" spans="1:29" ht="30" customHeight="1">
      <c r="A15" s="53">
        <v>8</v>
      </c>
      <c r="B15" s="20"/>
      <c r="C15" s="17"/>
      <c r="D15" s="13"/>
      <c r="E15" s="73"/>
      <c r="F15" s="14"/>
      <c r="G15" s="14"/>
      <c r="H15" s="14"/>
      <c r="I15" s="14"/>
      <c r="J15" s="484"/>
      <c r="K15" s="485"/>
      <c r="L15" s="15"/>
      <c r="M15" s="15"/>
      <c r="N15" s="15"/>
      <c r="O15" s="486"/>
      <c r="P15" s="486"/>
      <c r="Q15" s="13"/>
      <c r="R15" s="13"/>
      <c r="S15" s="13"/>
      <c r="T15" s="13"/>
      <c r="U15" s="186"/>
      <c r="V15" s="236"/>
      <c r="W15" s="237"/>
      <c r="AA15" s="33" t="str">
        <f t="shared" si="0"/>
        <v>OK</v>
      </c>
      <c r="AB15" s="33" t="str">
        <f>IF(COUNTIF(AB8:AB14,Data!KG6),Data!KH6,"")</f>
        <v/>
      </c>
    </row>
    <row r="16" spans="1:29" ht="30" customHeight="1">
      <c r="A16" s="53">
        <v>9</v>
      </c>
      <c r="B16" s="17"/>
      <c r="C16" s="17"/>
      <c r="D16" s="13"/>
      <c r="E16" s="73"/>
      <c r="F16" s="14"/>
      <c r="G16" s="14"/>
      <c r="H16" s="14"/>
      <c r="I16" s="14"/>
      <c r="J16" s="484"/>
      <c r="K16" s="485"/>
      <c r="L16" s="15"/>
      <c r="M16" s="15"/>
      <c r="N16" s="15"/>
      <c r="O16" s="486"/>
      <c r="P16" s="486"/>
      <c r="Q16" s="13"/>
      <c r="R16" s="13"/>
      <c r="S16" s="13"/>
      <c r="T16" s="13"/>
      <c r="U16" s="186"/>
      <c r="V16" s="236"/>
      <c r="W16" s="237"/>
      <c r="AA16" s="33" t="str">
        <f t="shared" si="0"/>
        <v>OK</v>
      </c>
      <c r="AB16" s="33" t="str">
        <f>IF(COUNTIF(AB8:AB14,Data!KG7),Data!KH7,"")</f>
        <v/>
      </c>
    </row>
    <row r="17" spans="1:28" ht="30" customHeight="1">
      <c r="A17" s="53">
        <v>10</v>
      </c>
      <c r="B17" s="17"/>
      <c r="C17" s="17"/>
      <c r="D17" s="13"/>
      <c r="E17" s="73"/>
      <c r="F17" s="14"/>
      <c r="G17" s="14"/>
      <c r="H17" s="14"/>
      <c r="I17" s="14"/>
      <c r="J17" s="484"/>
      <c r="K17" s="485"/>
      <c r="L17" s="15"/>
      <c r="M17" s="15"/>
      <c r="N17" s="15"/>
      <c r="O17" s="486"/>
      <c r="P17" s="486"/>
      <c r="Q17" s="13"/>
      <c r="R17" s="13"/>
      <c r="S17" s="13"/>
      <c r="T17" s="13"/>
      <c r="U17" s="186"/>
      <c r="V17" s="236"/>
      <c r="W17" s="237"/>
      <c r="AA17" s="33" t="str">
        <f t="shared" si="0"/>
        <v>OK</v>
      </c>
      <c r="AB17" s="33" t="str">
        <f>AB15&amp;" &amp; "&amp;AB16&amp;""</f>
        <v xml:space="preserve"> &amp; </v>
      </c>
    </row>
    <row r="18" spans="1:28" ht="30" customHeight="1">
      <c r="A18" s="53">
        <v>11</v>
      </c>
      <c r="B18" s="17"/>
      <c r="C18" s="17"/>
      <c r="D18" s="13"/>
      <c r="E18" s="73"/>
      <c r="F18" s="14"/>
      <c r="G18" s="14"/>
      <c r="H18" s="14"/>
      <c r="I18" s="14"/>
      <c r="J18" s="484"/>
      <c r="K18" s="485"/>
      <c r="L18" s="15"/>
      <c r="M18" s="15"/>
      <c r="N18" s="15"/>
      <c r="O18" s="486"/>
      <c r="P18" s="486"/>
      <c r="Q18" s="13"/>
      <c r="R18" s="13"/>
      <c r="S18" s="13"/>
      <c r="T18" s="13"/>
      <c r="U18" s="186"/>
      <c r="V18" s="236"/>
      <c r="W18" s="237"/>
      <c r="AA18" s="33" t="str">
        <f t="shared" si="0"/>
        <v>OK</v>
      </c>
      <c r="AB18" s="33" t="str">
        <f>IF(AB17="Corner &amp; Bay","Corner &amp; Bay Window Diagram Must Be Supplied",IF(AB15="Corner","Corner Window Diagram Must Be Supplied",IF(AB16="Bay","Bay Window Diagram Must Be Supplied","")))</f>
        <v/>
      </c>
    </row>
    <row r="19" spans="1:28" ht="30" customHeight="1">
      <c r="A19" s="53">
        <v>12</v>
      </c>
      <c r="B19" s="17"/>
      <c r="C19" s="17"/>
      <c r="D19" s="13"/>
      <c r="E19" s="73"/>
      <c r="F19" s="14"/>
      <c r="G19" s="14"/>
      <c r="H19" s="14"/>
      <c r="I19" s="14"/>
      <c r="J19" s="484"/>
      <c r="K19" s="485"/>
      <c r="L19" s="15"/>
      <c r="M19" s="15"/>
      <c r="N19" s="15"/>
      <c r="O19" s="486"/>
      <c r="P19" s="486"/>
      <c r="Q19" s="12"/>
      <c r="R19" s="13"/>
      <c r="S19" s="13"/>
      <c r="T19" s="13"/>
      <c r="U19" s="186"/>
      <c r="V19" s="236"/>
      <c r="W19" s="237"/>
      <c r="AA19" s="33" t="str">
        <f t="shared" si="0"/>
        <v>OK</v>
      </c>
    </row>
    <row r="20" spans="1:28" ht="30" customHeight="1">
      <c r="A20" s="53">
        <v>13</v>
      </c>
      <c r="B20" s="20"/>
      <c r="C20" s="17"/>
      <c r="D20" s="13"/>
      <c r="E20" s="73"/>
      <c r="F20" s="14"/>
      <c r="G20" s="14"/>
      <c r="H20" s="14"/>
      <c r="I20" s="14"/>
      <c r="J20" s="484"/>
      <c r="K20" s="485"/>
      <c r="L20" s="15"/>
      <c r="M20" s="15"/>
      <c r="N20" s="15"/>
      <c r="O20" s="486"/>
      <c r="P20" s="486"/>
      <c r="Q20" s="13"/>
      <c r="R20" s="13"/>
      <c r="S20" s="13"/>
      <c r="T20" s="13"/>
      <c r="U20" s="186"/>
      <c r="V20" s="236"/>
      <c r="W20" s="237"/>
      <c r="AA20" s="33" t="str">
        <f t="shared" si="0"/>
        <v>OK</v>
      </c>
    </row>
    <row r="21" spans="1:28" ht="30" customHeight="1">
      <c r="A21" s="53">
        <v>14</v>
      </c>
      <c r="B21" s="17"/>
      <c r="C21" s="17"/>
      <c r="D21" s="13"/>
      <c r="E21" s="73"/>
      <c r="F21" s="14"/>
      <c r="G21" s="14"/>
      <c r="H21" s="14"/>
      <c r="I21" s="14"/>
      <c r="J21" s="484"/>
      <c r="K21" s="485"/>
      <c r="L21" s="15"/>
      <c r="M21" s="15"/>
      <c r="N21" s="15"/>
      <c r="O21" s="486"/>
      <c r="P21" s="486"/>
      <c r="Q21" s="13"/>
      <c r="R21" s="13"/>
      <c r="S21" s="13"/>
      <c r="T21" s="13"/>
      <c r="U21" s="186"/>
      <c r="V21" s="236"/>
      <c r="W21" s="237"/>
      <c r="AA21" s="33" t="str">
        <f t="shared" si="0"/>
        <v>OK</v>
      </c>
    </row>
    <row r="22" spans="1:28" ht="30" customHeight="1">
      <c r="A22" s="53">
        <v>15</v>
      </c>
      <c r="B22" s="17"/>
      <c r="C22" s="17"/>
      <c r="D22" s="13"/>
      <c r="E22" s="73"/>
      <c r="F22" s="14"/>
      <c r="G22" s="14"/>
      <c r="H22" s="14"/>
      <c r="I22" s="14"/>
      <c r="J22" s="484"/>
      <c r="K22" s="485"/>
      <c r="L22" s="15"/>
      <c r="M22" s="15"/>
      <c r="N22" s="15"/>
      <c r="O22" s="486"/>
      <c r="P22" s="486"/>
      <c r="Q22" s="13"/>
      <c r="R22" s="19"/>
      <c r="S22" s="13"/>
      <c r="T22" s="13"/>
      <c r="U22" s="186"/>
      <c r="V22" s="236"/>
      <c r="W22" s="237"/>
      <c r="AA22" s="33" t="str">
        <f t="shared" si="0"/>
        <v>OK</v>
      </c>
    </row>
    <row r="23" spans="1:28" ht="30" customHeight="1">
      <c r="A23" s="53">
        <v>16</v>
      </c>
      <c r="B23" s="17"/>
      <c r="C23" s="17"/>
      <c r="D23" s="13"/>
      <c r="E23" s="73"/>
      <c r="F23" s="14"/>
      <c r="G23" s="14"/>
      <c r="H23" s="14"/>
      <c r="I23" s="14"/>
      <c r="J23" s="484"/>
      <c r="K23" s="485"/>
      <c r="L23" s="15"/>
      <c r="M23" s="15"/>
      <c r="N23" s="15"/>
      <c r="O23" s="486"/>
      <c r="P23" s="486"/>
      <c r="Q23" s="13"/>
      <c r="R23" s="13"/>
      <c r="S23" s="13"/>
      <c r="T23" s="13"/>
      <c r="U23" s="186"/>
      <c r="V23" s="236"/>
      <c r="W23" s="237"/>
      <c r="AA23" s="33" t="str">
        <f t="shared" si="0"/>
        <v>OK</v>
      </c>
    </row>
    <row r="24" spans="1:28" ht="30" customHeight="1">
      <c r="A24" s="53">
        <v>17</v>
      </c>
      <c r="B24" s="20"/>
      <c r="C24" s="17"/>
      <c r="D24" s="13"/>
      <c r="E24" s="73"/>
      <c r="F24" s="14"/>
      <c r="G24" s="14"/>
      <c r="H24" s="14"/>
      <c r="I24" s="14"/>
      <c r="J24" s="484"/>
      <c r="K24" s="485"/>
      <c r="L24" s="15"/>
      <c r="M24" s="15"/>
      <c r="N24" s="15"/>
      <c r="O24" s="486"/>
      <c r="P24" s="486"/>
      <c r="Q24" s="13"/>
      <c r="R24" s="13"/>
      <c r="S24" s="13"/>
      <c r="T24" s="13"/>
      <c r="U24" s="186"/>
      <c r="V24" s="236"/>
      <c r="W24" s="237"/>
      <c r="AA24" s="33" t="str">
        <f t="shared" si="0"/>
        <v>OK</v>
      </c>
    </row>
    <row r="25" spans="1:28" ht="30" customHeight="1">
      <c r="A25" s="53">
        <v>18</v>
      </c>
      <c r="B25" s="17"/>
      <c r="C25" s="17"/>
      <c r="D25" s="13"/>
      <c r="E25" s="73"/>
      <c r="F25" s="14"/>
      <c r="G25" s="14"/>
      <c r="H25" s="14"/>
      <c r="I25" s="14"/>
      <c r="J25" s="484"/>
      <c r="K25" s="485"/>
      <c r="L25" s="15"/>
      <c r="M25" s="15"/>
      <c r="N25" s="15"/>
      <c r="O25" s="486"/>
      <c r="P25" s="486"/>
      <c r="Q25" s="13"/>
      <c r="R25" s="19"/>
      <c r="S25" s="13"/>
      <c r="T25" s="13"/>
      <c r="U25" s="186"/>
      <c r="V25" s="236"/>
      <c r="W25" s="237"/>
      <c r="AA25" s="33" t="str">
        <f t="shared" si="0"/>
        <v>OK</v>
      </c>
    </row>
    <row r="26" spans="1:28" ht="30" customHeight="1">
      <c r="A26" s="53">
        <v>19</v>
      </c>
      <c r="B26" s="17"/>
      <c r="C26" s="17"/>
      <c r="D26" s="13"/>
      <c r="E26" s="73"/>
      <c r="F26" s="14"/>
      <c r="G26" s="14"/>
      <c r="H26" s="14"/>
      <c r="I26" s="14"/>
      <c r="J26" s="484"/>
      <c r="K26" s="485"/>
      <c r="L26" s="15"/>
      <c r="M26" s="15"/>
      <c r="N26" s="15"/>
      <c r="O26" s="486"/>
      <c r="P26" s="486"/>
      <c r="Q26" s="13"/>
      <c r="R26" s="13"/>
      <c r="S26" s="13"/>
      <c r="T26" s="13"/>
      <c r="U26" s="186"/>
      <c r="V26" s="236"/>
      <c r="W26" s="237"/>
      <c r="AA26" s="33" t="str">
        <f t="shared" si="0"/>
        <v>OK</v>
      </c>
    </row>
    <row r="27" spans="1:28" ht="30" customHeight="1">
      <c r="A27" s="53">
        <v>20</v>
      </c>
      <c r="B27" s="13"/>
      <c r="C27" s="13"/>
      <c r="D27" s="13"/>
      <c r="E27" s="73"/>
      <c r="F27" s="14"/>
      <c r="G27" s="14"/>
      <c r="H27" s="14"/>
      <c r="I27" s="14"/>
      <c r="J27" s="484"/>
      <c r="K27" s="485"/>
      <c r="L27" s="15"/>
      <c r="M27" s="15"/>
      <c r="N27" s="15"/>
      <c r="O27" s="486"/>
      <c r="P27" s="486"/>
      <c r="Q27" s="13"/>
      <c r="R27" s="13"/>
      <c r="S27" s="13"/>
      <c r="T27" s="13"/>
      <c r="U27" s="186"/>
      <c r="V27" s="236"/>
      <c r="W27" s="237"/>
      <c r="AA27" s="33" t="str">
        <f t="shared" si="0"/>
        <v>OK</v>
      </c>
    </row>
    <row r="28" spans="1:28" ht="30" customHeight="1">
      <c r="A28" s="53">
        <v>21</v>
      </c>
      <c r="B28" s="19"/>
      <c r="C28" s="13"/>
      <c r="D28" s="13"/>
      <c r="E28" s="73"/>
      <c r="F28" s="14"/>
      <c r="G28" s="14"/>
      <c r="H28" s="14"/>
      <c r="I28" s="14"/>
      <c r="J28" s="484"/>
      <c r="K28" s="485"/>
      <c r="L28" s="15"/>
      <c r="M28" s="15"/>
      <c r="N28" s="15"/>
      <c r="O28" s="486"/>
      <c r="P28" s="486"/>
      <c r="Q28" s="13"/>
      <c r="R28" s="13"/>
      <c r="S28" s="13"/>
      <c r="T28" s="13"/>
      <c r="U28" s="186"/>
      <c r="V28" s="236"/>
      <c r="W28" s="237"/>
      <c r="AA28" s="33" t="str">
        <f t="shared" si="0"/>
        <v>OK</v>
      </c>
    </row>
    <row r="29" spans="1:28" ht="30" customHeight="1">
      <c r="A29" s="53">
        <v>22</v>
      </c>
      <c r="B29" s="13"/>
      <c r="C29" s="13"/>
      <c r="D29" s="13"/>
      <c r="E29" s="73"/>
      <c r="F29" s="14"/>
      <c r="G29" s="14"/>
      <c r="H29" s="14"/>
      <c r="I29" s="14"/>
      <c r="J29" s="484"/>
      <c r="K29" s="485"/>
      <c r="L29" s="15"/>
      <c r="M29" s="15"/>
      <c r="N29" s="15"/>
      <c r="O29" s="486"/>
      <c r="P29" s="486"/>
      <c r="Q29" s="13"/>
      <c r="R29" s="13"/>
      <c r="S29" s="13"/>
      <c r="T29" s="13"/>
      <c r="U29" s="186"/>
      <c r="V29" s="236"/>
      <c r="W29" s="237"/>
      <c r="AA29" s="33" t="str">
        <f t="shared" si="0"/>
        <v>OK</v>
      </c>
    </row>
    <row r="30" spans="1:28" ht="30" customHeight="1">
      <c r="A30" s="53">
        <v>23</v>
      </c>
      <c r="B30" s="13"/>
      <c r="C30" s="13"/>
      <c r="D30" s="13"/>
      <c r="E30" s="73"/>
      <c r="F30" s="14"/>
      <c r="G30" s="14"/>
      <c r="H30" s="14"/>
      <c r="I30" s="14"/>
      <c r="J30" s="484"/>
      <c r="K30" s="485"/>
      <c r="L30" s="15"/>
      <c r="M30" s="15"/>
      <c r="N30" s="15"/>
      <c r="O30" s="486"/>
      <c r="P30" s="486"/>
      <c r="Q30" s="13"/>
      <c r="R30" s="13"/>
      <c r="S30" s="13"/>
      <c r="T30" s="13"/>
      <c r="U30" s="186"/>
      <c r="V30" s="236"/>
      <c r="W30" s="237"/>
      <c r="AA30" s="33" t="str">
        <f t="shared" si="0"/>
        <v>OK</v>
      </c>
    </row>
    <row r="31" spans="1:28" ht="30" customHeight="1">
      <c r="A31" s="53">
        <v>24</v>
      </c>
      <c r="B31" s="13"/>
      <c r="C31" s="13"/>
      <c r="D31" s="13"/>
      <c r="E31" s="73"/>
      <c r="F31" s="14"/>
      <c r="G31" s="14"/>
      <c r="H31" s="14"/>
      <c r="I31" s="14"/>
      <c r="J31" s="484"/>
      <c r="K31" s="485"/>
      <c r="L31" s="15"/>
      <c r="M31" s="15"/>
      <c r="N31" s="15"/>
      <c r="O31" s="486"/>
      <c r="P31" s="486"/>
      <c r="Q31" s="13"/>
      <c r="R31" s="13"/>
      <c r="S31" s="13"/>
      <c r="T31" s="13"/>
      <c r="U31" s="186"/>
      <c r="V31" s="236"/>
      <c r="W31" s="237"/>
      <c r="AA31" s="33" t="str">
        <f t="shared" si="0"/>
        <v>OK</v>
      </c>
    </row>
    <row r="32" spans="1:28" ht="30" customHeight="1">
      <c r="A32" s="53">
        <v>25</v>
      </c>
      <c r="B32" s="13"/>
      <c r="C32" s="13"/>
      <c r="D32" s="13"/>
      <c r="E32" s="73"/>
      <c r="F32" s="14"/>
      <c r="G32" s="14"/>
      <c r="H32" s="14"/>
      <c r="I32" s="14"/>
      <c r="J32" s="484"/>
      <c r="K32" s="485"/>
      <c r="L32" s="15"/>
      <c r="M32" s="15"/>
      <c r="N32" s="15"/>
      <c r="O32" s="486"/>
      <c r="P32" s="486"/>
      <c r="Q32" s="13"/>
      <c r="R32" s="13"/>
      <c r="S32" s="13"/>
      <c r="T32" s="13"/>
      <c r="U32" s="186"/>
      <c r="V32" s="236"/>
      <c r="W32" s="237"/>
      <c r="AA32" s="33" t="str">
        <f t="shared" si="0"/>
        <v>OK</v>
      </c>
    </row>
    <row r="33" spans="1:27" ht="30" customHeight="1">
      <c r="A33" s="53">
        <v>26</v>
      </c>
      <c r="B33" s="13"/>
      <c r="C33" s="13"/>
      <c r="D33" s="13"/>
      <c r="E33" s="73"/>
      <c r="F33" s="14"/>
      <c r="G33" s="14"/>
      <c r="H33" s="14"/>
      <c r="I33" s="14"/>
      <c r="J33" s="484"/>
      <c r="K33" s="485"/>
      <c r="L33" s="15"/>
      <c r="M33" s="15"/>
      <c r="N33" s="15"/>
      <c r="O33" s="486"/>
      <c r="P33" s="486"/>
      <c r="Q33" s="13"/>
      <c r="R33" s="13"/>
      <c r="S33" s="13"/>
      <c r="T33" s="13"/>
      <c r="U33" s="186"/>
      <c r="V33" s="236"/>
      <c r="W33" s="237"/>
      <c r="AA33" s="33" t="str">
        <f t="shared" si="0"/>
        <v>OK</v>
      </c>
    </row>
    <row r="34" spans="1:27" ht="30" customHeight="1">
      <c r="A34" s="53">
        <v>27</v>
      </c>
      <c r="B34" s="19"/>
      <c r="C34" s="13"/>
      <c r="D34" s="13"/>
      <c r="E34" s="73"/>
      <c r="F34" s="14"/>
      <c r="G34" s="14"/>
      <c r="H34" s="14"/>
      <c r="I34" s="14"/>
      <c r="J34" s="484"/>
      <c r="K34" s="485"/>
      <c r="L34" s="15"/>
      <c r="M34" s="15"/>
      <c r="N34" s="15"/>
      <c r="O34" s="486"/>
      <c r="P34" s="486"/>
      <c r="Q34" s="13"/>
      <c r="R34" s="13"/>
      <c r="S34" s="13"/>
      <c r="T34" s="13"/>
      <c r="U34" s="186"/>
      <c r="V34" s="236"/>
      <c r="W34" s="237"/>
      <c r="AA34" s="33" t="str">
        <f t="shared" si="0"/>
        <v>OK</v>
      </c>
    </row>
    <row r="35" spans="1:27" ht="30" customHeight="1">
      <c r="A35" s="53">
        <v>28</v>
      </c>
      <c r="B35" s="13"/>
      <c r="C35" s="13"/>
      <c r="D35" s="13"/>
      <c r="E35" s="73"/>
      <c r="F35" s="14"/>
      <c r="G35" s="14"/>
      <c r="H35" s="14"/>
      <c r="I35" s="14"/>
      <c r="J35" s="484"/>
      <c r="K35" s="485"/>
      <c r="L35" s="15"/>
      <c r="M35" s="15"/>
      <c r="N35" s="15"/>
      <c r="O35" s="486"/>
      <c r="P35" s="486"/>
      <c r="Q35" s="13"/>
      <c r="R35" s="13"/>
      <c r="S35" s="13"/>
      <c r="T35" s="13"/>
      <c r="U35" s="186"/>
      <c r="V35" s="236"/>
      <c r="W35" s="237"/>
      <c r="AA35" s="33" t="str">
        <f t="shared" si="0"/>
        <v>OK</v>
      </c>
    </row>
    <row r="36" spans="1:27" ht="30" customHeight="1">
      <c r="A36" s="53">
        <v>29</v>
      </c>
      <c r="B36" s="13"/>
      <c r="C36" s="13"/>
      <c r="D36" s="13"/>
      <c r="E36" s="73"/>
      <c r="F36" s="14"/>
      <c r="G36" s="14"/>
      <c r="H36" s="14"/>
      <c r="I36" s="14"/>
      <c r="J36" s="484"/>
      <c r="K36" s="485"/>
      <c r="L36" s="15"/>
      <c r="M36" s="15"/>
      <c r="N36" s="15"/>
      <c r="O36" s="486"/>
      <c r="P36" s="486"/>
      <c r="Q36" s="13"/>
      <c r="R36" s="13"/>
      <c r="S36" s="13"/>
      <c r="T36" s="13"/>
      <c r="U36" s="186"/>
      <c r="V36" s="236"/>
      <c r="W36" s="237"/>
      <c r="AA36" s="33" t="str">
        <f t="shared" si="0"/>
        <v>OK</v>
      </c>
    </row>
    <row r="37" spans="1:27" ht="30" customHeight="1">
      <c r="A37" s="53">
        <v>30</v>
      </c>
      <c r="B37" s="13"/>
      <c r="C37" s="13"/>
      <c r="D37" s="13"/>
      <c r="E37" s="73"/>
      <c r="F37" s="14"/>
      <c r="G37" s="14"/>
      <c r="H37" s="14"/>
      <c r="I37" s="14"/>
      <c r="J37" s="484"/>
      <c r="K37" s="485"/>
      <c r="L37" s="15"/>
      <c r="M37" s="15"/>
      <c r="N37" s="15"/>
      <c r="O37" s="486"/>
      <c r="P37" s="486"/>
      <c r="Q37" s="13"/>
      <c r="R37" s="13"/>
      <c r="S37" s="13"/>
      <c r="T37" s="13"/>
      <c r="U37" s="186"/>
      <c r="V37" s="236"/>
      <c r="W37" s="237"/>
      <c r="AA37" s="33" t="str">
        <f t="shared" si="0"/>
        <v>OK</v>
      </c>
    </row>
    <row r="38" spans="1:27" ht="30" customHeight="1">
      <c r="A38" s="53">
        <v>31</v>
      </c>
      <c r="B38" s="13"/>
      <c r="C38" s="13"/>
      <c r="D38" s="13"/>
      <c r="E38" s="73"/>
      <c r="F38" s="14"/>
      <c r="G38" s="14"/>
      <c r="H38" s="14"/>
      <c r="I38" s="14"/>
      <c r="J38" s="484"/>
      <c r="K38" s="485"/>
      <c r="L38" s="15"/>
      <c r="M38" s="15"/>
      <c r="N38" s="15"/>
      <c r="O38" s="486"/>
      <c r="P38" s="486"/>
      <c r="Q38" s="13"/>
      <c r="R38" s="19"/>
      <c r="S38" s="13"/>
      <c r="T38" s="13"/>
      <c r="U38" s="186"/>
      <c r="V38" s="236"/>
      <c r="W38" s="237"/>
      <c r="AA38" s="33" t="str">
        <f t="shared" si="0"/>
        <v>OK</v>
      </c>
    </row>
    <row r="39" spans="1:27" ht="30" customHeight="1">
      <c r="A39" s="53">
        <v>32</v>
      </c>
      <c r="B39" s="13"/>
      <c r="C39" s="13"/>
      <c r="D39" s="13"/>
      <c r="E39" s="73"/>
      <c r="F39" s="14"/>
      <c r="G39" s="14"/>
      <c r="H39" s="14"/>
      <c r="I39" s="14"/>
      <c r="J39" s="484"/>
      <c r="K39" s="485"/>
      <c r="L39" s="15"/>
      <c r="M39" s="15"/>
      <c r="N39" s="15"/>
      <c r="O39" s="486"/>
      <c r="P39" s="486"/>
      <c r="Q39" s="13"/>
      <c r="R39" s="13"/>
      <c r="S39" s="13"/>
      <c r="T39" s="13"/>
      <c r="U39" s="186"/>
      <c r="V39" s="236"/>
      <c r="W39" s="237"/>
      <c r="AA39" s="33" t="str">
        <f t="shared" si="0"/>
        <v>OK</v>
      </c>
    </row>
    <row r="40" spans="1:27" ht="30" customHeight="1">
      <c r="A40" s="53">
        <v>33</v>
      </c>
      <c r="B40" s="13"/>
      <c r="C40" s="13"/>
      <c r="D40" s="13"/>
      <c r="E40" s="73"/>
      <c r="F40" s="14"/>
      <c r="G40" s="14"/>
      <c r="H40" s="14"/>
      <c r="I40" s="14"/>
      <c r="J40" s="484"/>
      <c r="K40" s="485"/>
      <c r="L40" s="15"/>
      <c r="M40" s="15"/>
      <c r="N40" s="15"/>
      <c r="O40" s="486"/>
      <c r="P40" s="486"/>
      <c r="Q40" s="13"/>
      <c r="R40" s="13"/>
      <c r="S40" s="13"/>
      <c r="T40" s="13"/>
      <c r="U40" s="186"/>
      <c r="V40" s="236"/>
      <c r="W40" s="237"/>
      <c r="AA40" s="33" t="str">
        <f t="shared" si="0"/>
        <v>OK</v>
      </c>
    </row>
    <row r="41" spans="1:27" ht="30" customHeight="1">
      <c r="A41" s="53">
        <v>34</v>
      </c>
      <c r="B41" s="13"/>
      <c r="C41" s="13"/>
      <c r="D41" s="13"/>
      <c r="E41" s="73"/>
      <c r="F41" s="14"/>
      <c r="G41" s="14"/>
      <c r="H41" s="14"/>
      <c r="I41" s="14"/>
      <c r="J41" s="484"/>
      <c r="K41" s="485"/>
      <c r="L41" s="15"/>
      <c r="M41" s="15"/>
      <c r="N41" s="15"/>
      <c r="O41" s="486"/>
      <c r="P41" s="486"/>
      <c r="Q41" s="13"/>
      <c r="R41" s="19"/>
      <c r="S41" s="13"/>
      <c r="T41" s="13"/>
      <c r="U41" s="186"/>
      <c r="V41" s="236"/>
      <c r="W41" s="237"/>
      <c r="AA41" s="33" t="str">
        <f t="shared" si="0"/>
        <v>OK</v>
      </c>
    </row>
    <row r="42" spans="1:27" ht="30" customHeight="1">
      <c r="A42" s="53">
        <v>35</v>
      </c>
      <c r="B42" s="13"/>
      <c r="C42" s="13"/>
      <c r="D42" s="13"/>
      <c r="E42" s="73"/>
      <c r="F42" s="14"/>
      <c r="G42" s="14"/>
      <c r="H42" s="14"/>
      <c r="I42" s="14"/>
      <c r="J42" s="484"/>
      <c r="K42" s="485"/>
      <c r="L42" s="15"/>
      <c r="M42" s="15"/>
      <c r="N42" s="15"/>
      <c r="O42" s="486"/>
      <c r="P42" s="486"/>
      <c r="Q42" s="13"/>
      <c r="R42" s="13"/>
      <c r="S42" s="13"/>
      <c r="T42" s="13"/>
      <c r="U42" s="186"/>
      <c r="V42" s="236"/>
      <c r="W42" s="237"/>
      <c r="AA42" s="33" t="str">
        <f t="shared" si="0"/>
        <v>OK</v>
      </c>
    </row>
    <row r="43" spans="1:27" ht="30" customHeight="1">
      <c r="A43" s="53">
        <v>36</v>
      </c>
      <c r="B43" s="13"/>
      <c r="C43" s="13"/>
      <c r="D43" s="13"/>
      <c r="E43" s="73"/>
      <c r="F43" s="14"/>
      <c r="G43" s="14"/>
      <c r="H43" s="14"/>
      <c r="I43" s="14"/>
      <c r="J43" s="484"/>
      <c r="K43" s="485"/>
      <c r="L43" s="15"/>
      <c r="M43" s="15"/>
      <c r="N43" s="15"/>
      <c r="O43" s="486"/>
      <c r="P43" s="486"/>
      <c r="Q43" s="13"/>
      <c r="R43" s="13"/>
      <c r="S43" s="13"/>
      <c r="T43" s="13"/>
      <c r="U43" s="186"/>
      <c r="V43" s="236"/>
      <c r="W43" s="237"/>
      <c r="AA43" s="33" t="str">
        <f t="shared" si="0"/>
        <v>OK</v>
      </c>
    </row>
    <row r="44" spans="1:27" ht="30" customHeight="1">
      <c r="A44" s="53">
        <v>37</v>
      </c>
      <c r="B44" s="19"/>
      <c r="C44" s="13"/>
      <c r="D44" s="13"/>
      <c r="E44" s="73"/>
      <c r="F44" s="14"/>
      <c r="G44" s="14"/>
      <c r="H44" s="14"/>
      <c r="I44" s="14"/>
      <c r="J44" s="484"/>
      <c r="K44" s="485"/>
      <c r="L44" s="15"/>
      <c r="M44" s="15"/>
      <c r="N44" s="15"/>
      <c r="O44" s="486"/>
      <c r="P44" s="486"/>
      <c r="Q44" s="13"/>
      <c r="R44" s="13"/>
      <c r="S44" s="13"/>
      <c r="T44" s="13"/>
      <c r="U44" s="186"/>
      <c r="V44" s="236"/>
      <c r="W44" s="237"/>
      <c r="AA44" s="33" t="str">
        <f t="shared" si="0"/>
        <v>OK</v>
      </c>
    </row>
    <row r="45" spans="1:27" ht="30" customHeight="1">
      <c r="A45" s="53">
        <v>38</v>
      </c>
      <c r="B45" s="13"/>
      <c r="C45" s="13"/>
      <c r="D45" s="13"/>
      <c r="E45" s="73"/>
      <c r="F45" s="14"/>
      <c r="G45" s="14"/>
      <c r="H45" s="14"/>
      <c r="I45" s="14"/>
      <c r="J45" s="484"/>
      <c r="K45" s="485"/>
      <c r="L45" s="15"/>
      <c r="M45" s="15"/>
      <c r="N45" s="15"/>
      <c r="O45" s="486"/>
      <c r="P45" s="486"/>
      <c r="Q45" s="13"/>
      <c r="R45" s="13"/>
      <c r="S45" s="13"/>
      <c r="T45" s="13"/>
      <c r="U45" s="186"/>
      <c r="V45" s="236"/>
      <c r="W45" s="237"/>
      <c r="AA45" s="33" t="str">
        <f t="shared" si="0"/>
        <v>OK</v>
      </c>
    </row>
    <row r="46" spans="1:27" ht="30" customHeight="1">
      <c r="A46" s="53">
        <v>39</v>
      </c>
      <c r="B46" s="13"/>
      <c r="C46" s="13"/>
      <c r="D46" s="13"/>
      <c r="E46" s="73"/>
      <c r="F46" s="14"/>
      <c r="G46" s="14"/>
      <c r="H46" s="14"/>
      <c r="I46" s="14"/>
      <c r="J46" s="484"/>
      <c r="K46" s="485"/>
      <c r="L46" s="15"/>
      <c r="M46" s="15"/>
      <c r="N46" s="15"/>
      <c r="O46" s="486"/>
      <c r="P46" s="486"/>
      <c r="Q46" s="13"/>
      <c r="R46" s="13"/>
      <c r="S46" s="13"/>
      <c r="T46" s="13"/>
      <c r="U46" s="186"/>
      <c r="V46" s="236"/>
      <c r="W46" s="237"/>
      <c r="AA46" s="33" t="str">
        <f t="shared" si="0"/>
        <v>OK</v>
      </c>
    </row>
    <row r="47" spans="1:27" ht="30" customHeight="1">
      <c r="A47" s="53">
        <v>40</v>
      </c>
      <c r="B47" s="19"/>
      <c r="C47" s="13"/>
      <c r="D47" s="13"/>
      <c r="E47" s="73"/>
      <c r="F47" s="14"/>
      <c r="G47" s="14"/>
      <c r="H47" s="14"/>
      <c r="I47" s="14"/>
      <c r="J47" s="484"/>
      <c r="K47" s="485"/>
      <c r="L47" s="15"/>
      <c r="M47" s="15"/>
      <c r="N47" s="15"/>
      <c r="O47" s="486"/>
      <c r="P47" s="486"/>
      <c r="Q47" s="13"/>
      <c r="R47" s="13"/>
      <c r="S47" s="13"/>
      <c r="T47" s="13"/>
      <c r="U47" s="186"/>
      <c r="V47" s="236"/>
      <c r="W47" s="237"/>
      <c r="AA47" s="33" t="str">
        <f t="shared" si="0"/>
        <v>OK</v>
      </c>
    </row>
    <row r="48" spans="1:27" ht="30" customHeight="1">
      <c r="A48" s="53">
        <v>41</v>
      </c>
      <c r="B48" s="13"/>
      <c r="C48" s="13"/>
      <c r="D48" s="13"/>
      <c r="E48" s="73"/>
      <c r="F48" s="14"/>
      <c r="G48" s="14"/>
      <c r="H48" s="14"/>
      <c r="I48" s="14"/>
      <c r="J48" s="484"/>
      <c r="K48" s="485"/>
      <c r="L48" s="15"/>
      <c r="M48" s="15"/>
      <c r="N48" s="15"/>
      <c r="O48" s="486"/>
      <c r="P48" s="486"/>
      <c r="Q48" s="13"/>
      <c r="R48" s="13"/>
      <c r="S48" s="13"/>
      <c r="T48" s="13"/>
      <c r="U48" s="186"/>
      <c r="V48" s="236"/>
      <c r="W48" s="237"/>
      <c r="AA48" s="33" t="str">
        <f t="shared" si="0"/>
        <v>OK</v>
      </c>
    </row>
    <row r="49" spans="1:27" ht="30" customHeight="1">
      <c r="A49" s="53">
        <v>42</v>
      </c>
      <c r="B49" s="13"/>
      <c r="C49" s="13"/>
      <c r="D49" s="13"/>
      <c r="E49" s="73"/>
      <c r="F49" s="14"/>
      <c r="G49" s="14"/>
      <c r="H49" s="14"/>
      <c r="I49" s="14"/>
      <c r="J49" s="484"/>
      <c r="K49" s="485"/>
      <c r="L49" s="15"/>
      <c r="M49" s="15"/>
      <c r="N49" s="15"/>
      <c r="O49" s="486"/>
      <c r="P49" s="486"/>
      <c r="Q49" s="13"/>
      <c r="R49" s="13"/>
      <c r="S49" s="13"/>
      <c r="T49" s="13"/>
      <c r="U49" s="186"/>
      <c r="V49" s="236"/>
      <c r="W49" s="237"/>
      <c r="AA49" s="33" t="str">
        <f t="shared" si="0"/>
        <v>OK</v>
      </c>
    </row>
    <row r="50" spans="1:27" ht="30" customHeight="1">
      <c r="A50" s="53">
        <v>43</v>
      </c>
      <c r="B50" s="13"/>
      <c r="C50" s="13"/>
      <c r="D50" s="13"/>
      <c r="E50" s="73"/>
      <c r="F50" s="14"/>
      <c r="G50" s="14"/>
      <c r="H50" s="14"/>
      <c r="I50" s="14"/>
      <c r="J50" s="484"/>
      <c r="K50" s="485"/>
      <c r="L50" s="15"/>
      <c r="M50" s="15"/>
      <c r="N50" s="15"/>
      <c r="O50" s="486"/>
      <c r="P50" s="486"/>
      <c r="Q50" s="13"/>
      <c r="R50" s="13"/>
      <c r="S50" s="13"/>
      <c r="T50" s="13"/>
      <c r="U50" s="186"/>
      <c r="V50" s="236"/>
      <c r="W50" s="237"/>
      <c r="AA50" s="33" t="str">
        <f t="shared" si="0"/>
        <v>OK</v>
      </c>
    </row>
    <row r="51" spans="1:27" ht="30" customHeight="1">
      <c r="A51" s="53">
        <v>44</v>
      </c>
      <c r="B51" s="13"/>
      <c r="C51" s="13"/>
      <c r="D51" s="13"/>
      <c r="E51" s="73"/>
      <c r="F51" s="14"/>
      <c r="G51" s="14"/>
      <c r="H51" s="14"/>
      <c r="I51" s="14"/>
      <c r="J51" s="484"/>
      <c r="K51" s="485"/>
      <c r="L51" s="15"/>
      <c r="M51" s="15"/>
      <c r="N51" s="15"/>
      <c r="O51" s="486"/>
      <c r="P51" s="486"/>
      <c r="Q51" s="13"/>
      <c r="R51" s="13"/>
      <c r="S51" s="13"/>
      <c r="T51" s="13"/>
      <c r="U51" s="186"/>
      <c r="V51" s="236"/>
      <c r="W51" s="237"/>
      <c r="AA51" s="33" t="str">
        <f t="shared" si="0"/>
        <v>OK</v>
      </c>
    </row>
    <row r="52" spans="1:27" ht="30" customHeight="1">
      <c r="A52" s="53">
        <v>45</v>
      </c>
      <c r="B52" s="13"/>
      <c r="C52" s="13"/>
      <c r="D52" s="13"/>
      <c r="E52" s="73"/>
      <c r="F52" s="14"/>
      <c r="G52" s="14"/>
      <c r="H52" s="14"/>
      <c r="I52" s="14"/>
      <c r="J52" s="484"/>
      <c r="K52" s="485"/>
      <c r="L52" s="15"/>
      <c r="M52" s="15"/>
      <c r="N52" s="15"/>
      <c r="O52" s="486"/>
      <c r="P52" s="486"/>
      <c r="Q52" s="13"/>
      <c r="R52" s="13"/>
      <c r="S52" s="13"/>
      <c r="T52" s="13"/>
      <c r="U52" s="186"/>
      <c r="V52" s="236"/>
      <c r="W52" s="237"/>
      <c r="AA52" s="33" t="str">
        <f t="shared" si="0"/>
        <v>OK</v>
      </c>
    </row>
    <row r="53" spans="1:27" ht="30" customHeight="1">
      <c r="A53" s="53">
        <v>46</v>
      </c>
      <c r="B53" s="19"/>
      <c r="C53" s="13"/>
      <c r="D53" s="13"/>
      <c r="E53" s="73"/>
      <c r="F53" s="14"/>
      <c r="G53" s="14"/>
      <c r="H53" s="14"/>
      <c r="I53" s="14"/>
      <c r="J53" s="484"/>
      <c r="K53" s="485"/>
      <c r="L53" s="15"/>
      <c r="M53" s="15"/>
      <c r="N53" s="15"/>
      <c r="O53" s="486"/>
      <c r="P53" s="486"/>
      <c r="Q53" s="13"/>
      <c r="R53" s="13"/>
      <c r="S53" s="13"/>
      <c r="T53" s="13"/>
      <c r="U53" s="186"/>
      <c r="V53" s="236"/>
      <c r="W53" s="237"/>
      <c r="AA53" s="33" t="str">
        <f t="shared" si="0"/>
        <v>OK</v>
      </c>
    </row>
    <row r="54" spans="1:27" ht="30" customHeight="1">
      <c r="A54" s="53">
        <v>47</v>
      </c>
      <c r="B54" s="13"/>
      <c r="C54" s="13"/>
      <c r="D54" s="13"/>
      <c r="E54" s="73"/>
      <c r="F54" s="14"/>
      <c r="G54" s="14"/>
      <c r="H54" s="14"/>
      <c r="I54" s="14"/>
      <c r="J54" s="484"/>
      <c r="K54" s="485"/>
      <c r="L54" s="15"/>
      <c r="M54" s="15"/>
      <c r="N54" s="15"/>
      <c r="O54" s="486"/>
      <c r="P54" s="486"/>
      <c r="Q54" s="13"/>
      <c r="R54" s="13"/>
      <c r="S54" s="13"/>
      <c r="T54" s="13"/>
      <c r="U54" s="186"/>
      <c r="V54" s="236"/>
      <c r="W54" s="237"/>
      <c r="AA54" s="33" t="str">
        <f t="shared" si="0"/>
        <v>OK</v>
      </c>
    </row>
    <row r="55" spans="1:27" ht="30" customHeight="1">
      <c r="A55" s="53">
        <v>48</v>
      </c>
      <c r="B55" s="13"/>
      <c r="C55" s="13"/>
      <c r="D55" s="13"/>
      <c r="E55" s="73"/>
      <c r="F55" s="14"/>
      <c r="G55" s="14"/>
      <c r="H55" s="14"/>
      <c r="I55" s="14"/>
      <c r="J55" s="484"/>
      <c r="K55" s="485"/>
      <c r="L55" s="15"/>
      <c r="M55" s="15"/>
      <c r="N55" s="15"/>
      <c r="O55" s="486"/>
      <c r="P55" s="486"/>
      <c r="Q55" s="13"/>
      <c r="R55" s="13"/>
      <c r="S55" s="13"/>
      <c r="T55" s="13"/>
      <c r="U55" s="186"/>
      <c r="V55" s="236"/>
      <c r="W55" s="237"/>
      <c r="AA55" s="33" t="str">
        <f t="shared" si="0"/>
        <v>OK</v>
      </c>
    </row>
    <row r="56" spans="1:27" ht="30" customHeight="1">
      <c r="A56" s="53">
        <v>49</v>
      </c>
      <c r="B56" s="13"/>
      <c r="C56" s="13"/>
      <c r="D56" s="13"/>
      <c r="E56" s="73"/>
      <c r="F56" s="14"/>
      <c r="G56" s="14"/>
      <c r="H56" s="14"/>
      <c r="I56" s="14"/>
      <c r="J56" s="484"/>
      <c r="K56" s="485"/>
      <c r="L56" s="15"/>
      <c r="M56" s="15"/>
      <c r="N56" s="15"/>
      <c r="O56" s="486"/>
      <c r="P56" s="486"/>
      <c r="Q56" s="13"/>
      <c r="R56" s="13"/>
      <c r="S56" s="13"/>
      <c r="T56" s="13"/>
      <c r="U56" s="186"/>
      <c r="V56" s="236"/>
      <c r="W56" s="237"/>
      <c r="AA56" s="33" t="str">
        <f t="shared" si="0"/>
        <v>OK</v>
      </c>
    </row>
    <row r="57" spans="1:27" ht="30" customHeight="1" thickBot="1">
      <c r="A57" s="54">
        <v>50</v>
      </c>
      <c r="B57" s="21"/>
      <c r="C57" s="21"/>
      <c r="D57" s="21"/>
      <c r="E57" s="74"/>
      <c r="F57" s="22"/>
      <c r="G57" s="22"/>
      <c r="H57" s="22"/>
      <c r="I57" s="22"/>
      <c r="J57" s="498"/>
      <c r="K57" s="499"/>
      <c r="L57" s="44"/>
      <c r="M57" s="44"/>
      <c r="N57" s="44"/>
      <c r="O57" s="500"/>
      <c r="P57" s="500"/>
      <c r="Q57" s="45"/>
      <c r="R57" s="21"/>
      <c r="S57" s="21"/>
      <c r="T57" s="21"/>
      <c r="U57" s="187"/>
      <c r="V57" s="236"/>
      <c r="W57" s="237"/>
      <c r="AA57" s="33" t="str">
        <f t="shared" si="0"/>
        <v>OK</v>
      </c>
    </row>
    <row r="58" spans="1:27" ht="15.75" thickTop="1"/>
  </sheetData>
  <sheetProtection password="A0FF" sheet="1" objects="1" scenarios="1"/>
  <mergeCells count="126">
    <mergeCell ref="J56:K56"/>
    <mergeCell ref="O56:P56"/>
    <mergeCell ref="J57:K57"/>
    <mergeCell ref="O57:P57"/>
    <mergeCell ref="J53:K53"/>
    <mergeCell ref="O53:P53"/>
    <mergeCell ref="J54:K54"/>
    <mergeCell ref="O54:P54"/>
    <mergeCell ref="J55:K55"/>
    <mergeCell ref="O55:P55"/>
    <mergeCell ref="J50:K50"/>
    <mergeCell ref="O50:P50"/>
    <mergeCell ref="J51:K51"/>
    <mergeCell ref="O51:P51"/>
    <mergeCell ref="J52:K52"/>
    <mergeCell ref="O52:P52"/>
    <mergeCell ref="J47:K47"/>
    <mergeCell ref="O47:P47"/>
    <mergeCell ref="J48:K48"/>
    <mergeCell ref="O48:P48"/>
    <mergeCell ref="J49:K49"/>
    <mergeCell ref="O49:P49"/>
    <mergeCell ref="J44:K44"/>
    <mergeCell ref="O44:P44"/>
    <mergeCell ref="J45:K45"/>
    <mergeCell ref="O45:P45"/>
    <mergeCell ref="J46:K46"/>
    <mergeCell ref="O46:P46"/>
    <mergeCell ref="J41:K41"/>
    <mergeCell ref="O41:P41"/>
    <mergeCell ref="J42:K42"/>
    <mergeCell ref="O42:P42"/>
    <mergeCell ref="J43:K43"/>
    <mergeCell ref="O43:P43"/>
    <mergeCell ref="J38:K38"/>
    <mergeCell ref="O38:P38"/>
    <mergeCell ref="J39:K39"/>
    <mergeCell ref="O39:P39"/>
    <mergeCell ref="J40:K40"/>
    <mergeCell ref="O40:P40"/>
    <mergeCell ref="J35:K35"/>
    <mergeCell ref="O35:P35"/>
    <mergeCell ref="J36:K36"/>
    <mergeCell ref="O36:P36"/>
    <mergeCell ref="J37:K37"/>
    <mergeCell ref="O37:P37"/>
    <mergeCell ref="J32:K32"/>
    <mergeCell ref="O32:P32"/>
    <mergeCell ref="J33:K33"/>
    <mergeCell ref="O33:P33"/>
    <mergeCell ref="J34:K34"/>
    <mergeCell ref="O34:P34"/>
    <mergeCell ref="J29:K29"/>
    <mergeCell ref="O29:P29"/>
    <mergeCell ref="J30:K30"/>
    <mergeCell ref="O30:P30"/>
    <mergeCell ref="J31:K31"/>
    <mergeCell ref="O31:P31"/>
    <mergeCell ref="J26:K26"/>
    <mergeCell ref="O26:P26"/>
    <mergeCell ref="J27:K27"/>
    <mergeCell ref="O27:P27"/>
    <mergeCell ref="J28:K28"/>
    <mergeCell ref="O28:P28"/>
    <mergeCell ref="J23:K23"/>
    <mergeCell ref="O23:P23"/>
    <mergeCell ref="J24:K24"/>
    <mergeCell ref="O24:P24"/>
    <mergeCell ref="J25:K25"/>
    <mergeCell ref="O25:P25"/>
    <mergeCell ref="J20:K20"/>
    <mergeCell ref="O20:P20"/>
    <mergeCell ref="J21:K21"/>
    <mergeCell ref="O21:P21"/>
    <mergeCell ref="J22:K22"/>
    <mergeCell ref="O22:P22"/>
    <mergeCell ref="J17:K17"/>
    <mergeCell ref="O17:P17"/>
    <mergeCell ref="J18:K18"/>
    <mergeCell ref="O18:P18"/>
    <mergeCell ref="J19:K19"/>
    <mergeCell ref="O19:P19"/>
    <mergeCell ref="J14:K14"/>
    <mergeCell ref="O14:P14"/>
    <mergeCell ref="J15:K15"/>
    <mergeCell ref="O15:P15"/>
    <mergeCell ref="J16:K16"/>
    <mergeCell ref="O16:P16"/>
    <mergeCell ref="J11:K11"/>
    <mergeCell ref="O11:P11"/>
    <mergeCell ref="J12:K12"/>
    <mergeCell ref="O12:P12"/>
    <mergeCell ref="J13:K13"/>
    <mergeCell ref="O13:P13"/>
    <mergeCell ref="J8:K8"/>
    <mergeCell ref="O8:P8"/>
    <mergeCell ref="J9:K9"/>
    <mergeCell ref="O9:P9"/>
    <mergeCell ref="J10:K10"/>
    <mergeCell ref="O10:P10"/>
    <mergeCell ref="D5:I5"/>
    <mergeCell ref="L5:M5"/>
    <mergeCell ref="N5:T5"/>
    <mergeCell ref="J7:K7"/>
    <mergeCell ref="O7:P7"/>
    <mergeCell ref="L6:M6"/>
    <mergeCell ref="N6:T6"/>
    <mergeCell ref="F3:I3"/>
    <mergeCell ref="L3:M3"/>
    <mergeCell ref="N3:T3"/>
    <mergeCell ref="L4:M4"/>
    <mergeCell ref="V1:V2"/>
    <mergeCell ref="W1:W2"/>
    <mergeCell ref="V4:V5"/>
    <mergeCell ref="W4:W5"/>
    <mergeCell ref="A1:I1"/>
    <mergeCell ref="L1:M1"/>
    <mergeCell ref="N1:T1"/>
    <mergeCell ref="F2:I2"/>
    <mergeCell ref="L2:M2"/>
    <mergeCell ref="N2:T2"/>
    <mergeCell ref="A4:C4"/>
    <mergeCell ref="D4:E4"/>
    <mergeCell ref="F4:G4"/>
    <mergeCell ref="H4:I4"/>
    <mergeCell ref="N4:T4"/>
  </mergeCells>
  <conditionalFormatting sqref="O8:P57">
    <cfRule type="containsText" dxfId="142" priority="10" stopIfTrue="1" operator="containsText" text="Yes">
      <formula>NOT(ISERROR(SEARCH("Yes",O8)))</formula>
    </cfRule>
  </conditionalFormatting>
  <conditionalFormatting sqref="C8:C57">
    <cfRule type="cellIs" dxfId="141" priority="7" stopIfTrue="1" operator="greaterThan">
      <formula>1</formula>
    </cfRule>
  </conditionalFormatting>
  <conditionalFormatting sqref="M8:M57">
    <cfRule type="expression" dxfId="140" priority="3">
      <formula>M8&lt;&gt;L8</formula>
    </cfRule>
  </conditionalFormatting>
  <conditionalFormatting sqref="N8:N57">
    <cfRule type="expression" dxfId="139" priority="2">
      <formula>AA8="Enter"</formula>
    </cfRule>
  </conditionalFormatting>
  <conditionalFormatting sqref="N6:T6">
    <cfRule type="notContainsBlanks" dxfId="138" priority="1">
      <formula>LEN(TRIM(N6))&gt;0</formula>
    </cfRule>
  </conditionalFormatting>
  <dataValidations count="14">
    <dataValidation allowBlank="1" showInputMessage="1" errorTitle="Invalid Enrty" error="Please select from List!" sqref="U8:U57" xr:uid="{00000000-0002-0000-0200-000000000000}"/>
    <dataValidation type="list" allowBlank="1" showInputMessage="1" showErrorMessage="1" sqref="I8:I57" xr:uid="{00000000-0002-0000-0200-000001000000}">
      <formula1>"Face Fit, Recess Fit"</formula1>
    </dataValidation>
    <dataValidation type="list" errorStyle="warning" allowBlank="1" showInputMessage="1" showErrorMessage="1" errorTitle="Invalid Entry" error="This is not a standard colour._x000a_Please select from List!" sqref="J8:K57" xr:uid="{00000000-0002-0000-0200-000002000000}">
      <formula1>"NAM, ACT"</formula1>
    </dataValidation>
    <dataValidation type="list" allowBlank="1" showInputMessage="1" showErrorMessage="1" sqref="L8:M57" xr:uid="{00000000-0002-0000-0200-000003000000}">
      <formula1>"Left, Right"</formula1>
    </dataValidation>
    <dataValidation allowBlank="1" showInputMessage="1" showErrorMessage="1" errorTitle="Invalid Entry" error="Please select from List!" sqref="Q8:Q57 S8:S57" xr:uid="{00000000-0002-0000-0200-000004000000}"/>
    <dataValidation type="list" allowBlank="1" showInputMessage="1" showErrorMessage="1" errorTitle="Invalid Entry" error="Invalid Entry" sqref="E8:E57" xr:uid="{00000000-0002-0000-0200-000005000000}">
      <formula1>AlumColours</formula1>
    </dataValidation>
    <dataValidation type="list" allowBlank="1" showInputMessage="1" showErrorMessage="1" sqref="D8:D57" xr:uid="{00000000-0002-0000-0200-000006000000}">
      <formula1>"25mm Aluminium Blinds"</formula1>
    </dataValidation>
    <dataValidation type="list" allowBlank="1" showInputMessage="1" showErrorMessage="1" errorTitle="Invalid Entry" error="Invalid Entry" sqref="O8:P57" xr:uid="{00000000-0002-0000-0200-000007000000}">
      <formula1>"No, Yes"</formula1>
    </dataValidation>
    <dataValidation type="list" allowBlank="1" showInputMessage="1" showErrorMessage="1" errorTitle="Invalid Entry" error="Invalid Entry" sqref="H8:H57" xr:uid="{00000000-0002-0000-0200-000008000000}">
      <formula1>WindowType</formula1>
    </dataValidation>
    <dataValidation type="whole" errorStyle="warning" allowBlank="1" showInputMessage="1" showErrorMessage="1" errorTitle="Be Aware" error="Minimum width is 270mm._x000a_Maximum width is 2700mm. _x000a__x000a_Larger openings may require multiple Blinds._x000a__x000a_Blinds over approximately 7 SQM are able to be made but are not covered under warranty." sqref="F8:F57" xr:uid="{00000000-0002-0000-0200-000009000000}">
      <formula1>270</formula1>
      <formula2>2700</formula2>
    </dataValidation>
    <dataValidation type="whole" errorStyle="warning" allowBlank="1" showInputMessage="1" showErrorMessage="1" errorTitle="Be Aware" error="Maximum height/drop is 3600mm." sqref="G8:G57" xr:uid="{00000000-0002-0000-0200-00000A000000}">
      <formula1>1</formula1>
      <formula2>3600</formula2>
    </dataValidation>
    <dataValidation type="whole" errorStyle="warning" allowBlank="1" showInputMessage="1" showErrorMessage="1" errorTitle="Invalid Entry" error="Maximum Cut Out Width is 165mm." sqref="R8:R57 T8:T57" xr:uid="{00000000-0002-0000-0200-00000B000000}">
      <formula1>0</formula1>
      <formula2>165</formula2>
    </dataValidation>
    <dataValidation type="list" allowBlank="1" showInputMessage="1" showErrorMessage="1" errorTitle="Invalid Entry" error="Invalid Entry" sqref="N8:N57" xr:uid="{00000000-0002-0000-0200-00000C000000}">
      <formula1>HoldDown</formula1>
    </dataValidation>
    <dataValidation allowBlank="1" sqref="V1:W57" xr:uid="{00000000-0002-0000-0200-00000D000000}"/>
  </dataValidations>
  <printOptions horizontalCentered="1"/>
  <pageMargins left="0.23622047244094491" right="0.23622047244094491" top="0.23622047244094491" bottom="0.23622047244094491" header="0.19685039370078741" footer="0.15748031496062992"/>
  <pageSetup paperSize="9" scale="48"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0000"/>
    <pageSetUpPr fitToPage="1"/>
  </sheetPr>
  <dimension ref="A1:AZ58"/>
  <sheetViews>
    <sheetView view="pageBreakPreview" zoomScale="85" zoomScaleSheetLayoutView="85" workbookViewId="0">
      <selection activeCell="B8" sqref="B8"/>
    </sheetView>
  </sheetViews>
  <sheetFormatPr defaultRowHeight="15"/>
  <cols>
    <col min="1" max="1" width="7.140625" style="55" customWidth="1"/>
    <col min="2" max="2" width="13" style="55" customWidth="1"/>
    <col min="3" max="3" width="9.5703125" style="55" customWidth="1"/>
    <col min="4" max="4" width="18.5703125" style="55" customWidth="1"/>
    <col min="5" max="5" width="29.5703125" style="55" customWidth="1"/>
    <col min="6" max="6" width="13" style="55" customWidth="1"/>
    <col min="7" max="7" width="12.42578125" style="55" customWidth="1"/>
    <col min="8" max="8" width="15.28515625" style="55" customWidth="1"/>
    <col min="9" max="9" width="14.7109375" style="55" customWidth="1"/>
    <col min="10" max="10" width="10.42578125" style="55" customWidth="1"/>
    <col min="11" max="11" width="4.28515625" style="55" customWidth="1"/>
    <col min="12" max="14" width="14" style="55" customWidth="1"/>
    <col min="15" max="15" width="7.140625" style="55" customWidth="1"/>
    <col min="16" max="16" width="6.140625" style="55" customWidth="1"/>
    <col min="17" max="17" width="15.28515625" style="55" customWidth="1"/>
    <col min="18" max="18" width="15.140625" style="55" customWidth="1"/>
    <col min="19" max="20" width="14.7109375" style="55" customWidth="1"/>
    <col min="21" max="21" width="16.28515625" style="55" customWidth="1"/>
    <col min="22" max="22" width="40.42578125" style="55" customWidth="1"/>
    <col min="23" max="23" width="15.42578125" style="55" customWidth="1"/>
    <col min="24" max="24" width="47.5703125" style="55" customWidth="1"/>
    <col min="25" max="25" width="9.140625" style="33"/>
    <col min="26" max="26" width="9.140625" style="33" customWidth="1"/>
    <col min="27" max="27" width="9.140625" style="33" hidden="1" customWidth="1"/>
    <col min="28" max="29" width="46.85546875" style="33" hidden="1" customWidth="1"/>
    <col min="30" max="52" width="9.140625" style="33" hidden="1" customWidth="1"/>
    <col min="53" max="16384" width="9.140625" style="33"/>
  </cols>
  <sheetData>
    <row r="1" spans="1:33" ht="26.25">
      <c r="A1" s="463"/>
      <c r="B1" s="464"/>
      <c r="C1" s="464"/>
      <c r="D1" s="464"/>
      <c r="E1" s="464"/>
      <c r="F1" s="464"/>
      <c r="G1" s="464"/>
      <c r="H1" s="464"/>
      <c r="I1" s="465"/>
      <c r="J1" s="59"/>
      <c r="K1" s="59"/>
      <c r="L1" s="457" t="s">
        <v>0</v>
      </c>
      <c r="M1" s="457"/>
      <c r="N1" s="466">
        <f>Summary!D3</f>
        <v>0</v>
      </c>
      <c r="O1" s="467"/>
      <c r="P1" s="467"/>
      <c r="Q1" s="467"/>
      <c r="R1" s="467"/>
      <c r="S1" s="467"/>
      <c r="T1" s="467"/>
      <c r="U1" s="467"/>
      <c r="V1" s="60"/>
      <c r="W1" s="461"/>
      <c r="X1" s="416"/>
    </row>
    <row r="2" spans="1:33" ht="19.5">
      <c r="A2" s="28"/>
      <c r="B2" s="29"/>
      <c r="C2" s="29"/>
      <c r="D2" s="29"/>
      <c r="E2" s="29"/>
      <c r="F2" s="501" t="s">
        <v>1077</v>
      </c>
      <c r="G2" s="501"/>
      <c r="H2" s="501"/>
      <c r="I2" s="502"/>
      <c r="J2" s="61"/>
      <c r="K2" s="61"/>
      <c r="L2" s="457" t="s">
        <v>141</v>
      </c>
      <c r="M2" s="457"/>
      <c r="N2" s="470">
        <f>Summary!D6</f>
        <v>0</v>
      </c>
      <c r="O2" s="471"/>
      <c r="P2" s="471"/>
      <c r="Q2" s="471"/>
      <c r="R2" s="471"/>
      <c r="S2" s="471"/>
      <c r="T2" s="471"/>
      <c r="U2" s="471"/>
      <c r="V2" s="62"/>
      <c r="W2" s="461"/>
      <c r="X2" s="416"/>
    </row>
    <row r="3" spans="1:33" ht="18">
      <c r="A3" s="7"/>
      <c r="B3" s="8"/>
      <c r="C3" s="8"/>
      <c r="D3" s="8"/>
      <c r="E3" s="8"/>
      <c r="F3" s="455"/>
      <c r="G3" s="455"/>
      <c r="H3" s="455"/>
      <c r="I3" s="456"/>
      <c r="J3" s="59"/>
      <c r="K3" s="59"/>
      <c r="L3" s="457" t="s">
        <v>142</v>
      </c>
      <c r="M3" s="457"/>
      <c r="N3" s="509">
        <f>Summary!D4</f>
        <v>0</v>
      </c>
      <c r="O3" s="510"/>
      <c r="P3" s="510"/>
      <c r="Q3" s="510"/>
      <c r="R3" s="510"/>
      <c r="S3" s="510"/>
      <c r="T3" s="510"/>
      <c r="U3" s="510"/>
      <c r="V3" s="62"/>
      <c r="W3" s="63"/>
      <c r="X3" s="64"/>
    </row>
    <row r="4" spans="1:33" ht="17.25" customHeight="1">
      <c r="A4" s="472" t="s">
        <v>458</v>
      </c>
      <c r="B4" s="472"/>
      <c r="C4" s="472"/>
      <c r="D4" s="473"/>
      <c r="E4" s="474"/>
      <c r="F4" s="472" t="s">
        <v>457</v>
      </c>
      <c r="G4" s="472"/>
      <c r="H4" s="475"/>
      <c r="I4" s="476"/>
      <c r="J4" s="61"/>
      <c r="K4" s="61"/>
      <c r="L4" s="457" t="s">
        <v>973</v>
      </c>
      <c r="M4" s="457"/>
      <c r="N4" s="477">
        <f>Summary!D7</f>
        <v>0</v>
      </c>
      <c r="O4" s="478"/>
      <c r="P4" s="478"/>
      <c r="Q4" s="478"/>
      <c r="R4" s="478"/>
      <c r="S4" s="478"/>
      <c r="T4" s="478"/>
      <c r="U4" s="479"/>
      <c r="V4" s="62"/>
      <c r="W4" s="461"/>
      <c r="X4" s="462"/>
    </row>
    <row r="5" spans="1:33" ht="17.25" customHeight="1">
      <c r="A5" s="101" t="s">
        <v>421</v>
      </c>
      <c r="B5" s="102"/>
      <c r="C5" s="102"/>
      <c r="D5" s="487" t="s">
        <v>211</v>
      </c>
      <c r="E5" s="503"/>
      <c r="F5" s="503"/>
      <c r="G5" s="503"/>
      <c r="H5" s="503"/>
      <c r="I5" s="504"/>
      <c r="J5" s="61"/>
      <c r="K5" s="61"/>
      <c r="L5" s="457" t="s">
        <v>143</v>
      </c>
      <c r="M5" s="457"/>
      <c r="N5" s="490">
        <f>Summary!D8</f>
        <v>0</v>
      </c>
      <c r="O5" s="491"/>
      <c r="P5" s="491"/>
      <c r="Q5" s="491"/>
      <c r="R5" s="491"/>
      <c r="S5" s="491"/>
      <c r="T5" s="491"/>
      <c r="U5" s="491"/>
      <c r="V5" s="65"/>
      <c r="W5" s="461"/>
      <c r="X5" s="462"/>
    </row>
    <row r="6" spans="1:33" ht="15.75" thickBot="1">
      <c r="F6" s="60"/>
      <c r="L6" s="496" t="s">
        <v>654</v>
      </c>
      <c r="M6" s="496"/>
      <c r="N6" s="511" t="str">
        <f>AB18</f>
        <v/>
      </c>
      <c r="O6" s="512"/>
      <c r="P6" s="512"/>
      <c r="Q6" s="512"/>
      <c r="R6" s="512"/>
      <c r="S6" s="512"/>
      <c r="T6" s="512"/>
      <c r="U6" s="513"/>
      <c r="X6" s="66"/>
    </row>
    <row r="7" spans="1:33" ht="48.75" customHeight="1" thickTop="1" thickBot="1">
      <c r="A7" s="67" t="s">
        <v>144</v>
      </c>
      <c r="B7" s="68" t="s">
        <v>145</v>
      </c>
      <c r="C7" s="68" t="s">
        <v>162</v>
      </c>
      <c r="D7" s="68" t="s">
        <v>180</v>
      </c>
      <c r="E7" s="68" t="s">
        <v>150</v>
      </c>
      <c r="F7" s="68" t="s">
        <v>146</v>
      </c>
      <c r="G7" s="69" t="s">
        <v>147</v>
      </c>
      <c r="H7" s="70" t="s">
        <v>14</v>
      </c>
      <c r="I7" s="70" t="s">
        <v>163</v>
      </c>
      <c r="J7" s="492" t="s">
        <v>13</v>
      </c>
      <c r="K7" s="493"/>
      <c r="L7" s="69" t="s">
        <v>10</v>
      </c>
      <c r="M7" s="68" t="s">
        <v>12</v>
      </c>
      <c r="N7" s="68" t="s">
        <v>182</v>
      </c>
      <c r="O7" s="505" t="s">
        <v>16</v>
      </c>
      <c r="P7" s="506"/>
      <c r="Q7" s="69" t="s">
        <v>15</v>
      </c>
      <c r="R7" s="68" t="s">
        <v>4</v>
      </c>
      <c r="S7" s="68" t="s">
        <v>5</v>
      </c>
      <c r="T7" s="68" t="s">
        <v>6</v>
      </c>
      <c r="U7" s="68" t="s">
        <v>7</v>
      </c>
      <c r="V7" s="71" t="s">
        <v>203</v>
      </c>
      <c r="W7" s="235"/>
      <c r="X7" s="235"/>
      <c r="AG7" s="33" t="s">
        <v>1080</v>
      </c>
    </row>
    <row r="8" spans="1:33" ht="30" customHeight="1" thickTop="1">
      <c r="A8" s="51">
        <v>1</v>
      </c>
      <c r="B8" s="100"/>
      <c r="C8" s="100"/>
      <c r="D8" s="100"/>
      <c r="E8" s="25"/>
      <c r="F8" s="42"/>
      <c r="G8" s="42"/>
      <c r="H8" s="24"/>
      <c r="I8" s="24"/>
      <c r="J8" s="480"/>
      <c r="K8" s="481"/>
      <c r="L8" s="11"/>
      <c r="M8" s="11"/>
      <c r="N8" s="11"/>
      <c r="O8" s="507"/>
      <c r="P8" s="508"/>
      <c r="Q8" s="40"/>
      <c r="R8" s="25"/>
      <c r="S8" s="25"/>
      <c r="T8" s="25"/>
      <c r="U8" s="25"/>
      <c r="V8" s="188"/>
      <c r="W8" s="236"/>
      <c r="X8" s="237"/>
      <c r="AA8" s="33" t="str">
        <f>IF(AND(C8&gt;0,N8=""),"Enter","OK")</f>
        <v>OK</v>
      </c>
      <c r="AB8" s="33" t="str">
        <f>IF(COUNTIF($H$8:$H$57,Data!KF3),Data!KG3,"")</f>
        <v/>
      </c>
      <c r="AC8" s="33" t="str">
        <f>IF(SUM(--ISNUMBER(SEARCH({"Bay","Corner"}, H8:H17))),"Yes","No")</f>
        <v>No</v>
      </c>
      <c r="AG8" s="33" t="b">
        <f>IF(D8=Data!$OL$3,Data!$AP$1, IF(D8=Data!$OL$4,Data!$AP$1, IF(D8=Data!$OL$5,Data!$AQ$1, IF(D8=Data!$OL$6,Data!$AQ$1, IF(D8=Data!$OL$7,Data!$AR$1)))))</f>
        <v>0</v>
      </c>
    </row>
    <row r="9" spans="1:33" ht="30" customHeight="1">
      <c r="A9" s="52">
        <v>2</v>
      </c>
      <c r="B9" s="13"/>
      <c r="C9" s="17"/>
      <c r="D9" s="17"/>
      <c r="E9" s="13"/>
      <c r="F9" s="14"/>
      <c r="G9" s="14"/>
      <c r="H9" s="14"/>
      <c r="I9" s="14"/>
      <c r="J9" s="484"/>
      <c r="K9" s="485"/>
      <c r="L9" s="15"/>
      <c r="M9" s="15"/>
      <c r="N9" s="15"/>
      <c r="O9" s="514"/>
      <c r="P9" s="515"/>
      <c r="Q9" s="13"/>
      <c r="R9" s="13"/>
      <c r="S9" s="13"/>
      <c r="T9" s="13"/>
      <c r="U9" s="13"/>
      <c r="V9" s="186"/>
      <c r="W9" s="236"/>
      <c r="X9" s="237"/>
      <c r="AA9" s="33" t="str">
        <f t="shared" ref="AA9:AA57" si="0">IF(AND(C9&gt;0,N9=""),"Enter","OK")</f>
        <v>OK</v>
      </c>
      <c r="AB9" s="33" t="str">
        <f>IF(COUNTIF($H$8:$H$57,Data!KF4),Data!KG4,"")</f>
        <v/>
      </c>
      <c r="AG9" s="33" t="b">
        <f>IF(D9=Data!$OL$3,Data!$AP$1, IF(D9=Data!$OL$4,Data!$AP$1, IF(D9=Data!$OL$5,Data!$AQ$1, IF(D9=Data!$OL$6,Data!$AQ$1, IF(D9=Data!$OL$7,Data!$AR$1)))))</f>
        <v>0</v>
      </c>
    </row>
    <row r="10" spans="1:33" ht="30" customHeight="1">
      <c r="A10" s="53">
        <v>3</v>
      </c>
      <c r="B10" s="17"/>
      <c r="C10" s="17"/>
      <c r="D10" s="17"/>
      <c r="E10" s="13"/>
      <c r="F10" s="14"/>
      <c r="G10" s="14"/>
      <c r="H10" s="14"/>
      <c r="I10" s="14"/>
      <c r="J10" s="484"/>
      <c r="K10" s="485"/>
      <c r="L10" s="15"/>
      <c r="M10" s="15"/>
      <c r="N10" s="15"/>
      <c r="O10" s="514"/>
      <c r="P10" s="515"/>
      <c r="Q10" s="13"/>
      <c r="R10" s="13"/>
      <c r="S10" s="13"/>
      <c r="T10" s="13"/>
      <c r="U10" s="13"/>
      <c r="V10" s="186"/>
      <c r="W10" s="236"/>
      <c r="X10" s="237"/>
      <c r="AA10" s="33" t="str">
        <f t="shared" si="0"/>
        <v>OK</v>
      </c>
      <c r="AB10" s="33" t="str">
        <f>IF(COUNTIF($H$8:$H$57,Data!KF5),Data!KG5,"")</f>
        <v/>
      </c>
      <c r="AG10" s="33" t="b">
        <f>IF(D10=Data!$OL$3,Data!$AP$1, IF(D10=Data!$OL$4,Data!$AP$1, IF(D10=Data!$OL$5,Data!$AQ$1, IF(D10=Data!$OL$6,Data!$AQ$1, IF(D10=Data!$OL$7,Data!$AR$1)))))</f>
        <v>0</v>
      </c>
    </row>
    <row r="11" spans="1:33" ht="30" customHeight="1">
      <c r="A11" s="53">
        <v>4</v>
      </c>
      <c r="B11" s="17"/>
      <c r="C11" s="17"/>
      <c r="D11" s="17"/>
      <c r="E11" s="13"/>
      <c r="F11" s="14"/>
      <c r="G11" s="14"/>
      <c r="H11" s="14"/>
      <c r="I11" s="14"/>
      <c r="J11" s="484"/>
      <c r="K11" s="485"/>
      <c r="L11" s="15"/>
      <c r="M11" s="15"/>
      <c r="N11" s="15"/>
      <c r="O11" s="514"/>
      <c r="P11" s="515"/>
      <c r="Q11" s="13"/>
      <c r="R11" s="13"/>
      <c r="S11" s="13"/>
      <c r="T11" s="13"/>
      <c r="U11" s="13"/>
      <c r="V11" s="186"/>
      <c r="W11" s="236"/>
      <c r="X11" s="237"/>
      <c r="AA11" s="33" t="str">
        <f t="shared" si="0"/>
        <v>OK</v>
      </c>
      <c r="AB11" s="33" t="str">
        <f>IF(COUNTIF($H$8:$H$57,Data!KF6),Data!KG6,"")</f>
        <v/>
      </c>
      <c r="AG11" s="33" t="b">
        <f>IF(D11=Data!$OL$3,Data!$AP$1, IF(D11=Data!$OL$4,Data!$AP$1, IF(D11=Data!$OL$5,Data!$AQ$1, IF(D11=Data!$OL$6,Data!$AQ$1, IF(D11=Data!$OL$7,Data!$AR$1)))))</f>
        <v>0</v>
      </c>
    </row>
    <row r="12" spans="1:33" ht="30" customHeight="1">
      <c r="A12" s="53">
        <v>5</v>
      </c>
      <c r="B12" s="17"/>
      <c r="C12" s="17"/>
      <c r="D12" s="17"/>
      <c r="E12" s="13"/>
      <c r="F12" s="14"/>
      <c r="G12" s="14"/>
      <c r="H12" s="14"/>
      <c r="I12" s="14"/>
      <c r="J12" s="484"/>
      <c r="K12" s="485"/>
      <c r="L12" s="15"/>
      <c r="M12" s="15"/>
      <c r="N12" s="15"/>
      <c r="O12" s="514"/>
      <c r="P12" s="515"/>
      <c r="Q12" s="13"/>
      <c r="R12" s="13"/>
      <c r="S12" s="13"/>
      <c r="T12" s="13"/>
      <c r="U12" s="13"/>
      <c r="V12" s="186"/>
      <c r="W12" s="236"/>
      <c r="X12" s="237"/>
      <c r="AA12" s="33" t="str">
        <f t="shared" si="0"/>
        <v>OK</v>
      </c>
      <c r="AB12" s="33" t="str">
        <f>IF(COUNTIF($H$8:$H$57,Data!KF7),Data!KG7,"")</f>
        <v/>
      </c>
      <c r="AG12" s="33" t="b">
        <f>IF(D12=Data!$OL$3,Data!$AP$1, IF(D12=Data!$OL$4,Data!$AP$1, IF(D12=Data!$OL$5,Data!$AQ$1, IF(D12=Data!$OL$6,Data!$AQ$1, IF(D12=Data!$OL$7,Data!$AR$1)))))</f>
        <v>0</v>
      </c>
    </row>
    <row r="13" spans="1:33" ht="30" customHeight="1">
      <c r="A13" s="53">
        <v>6</v>
      </c>
      <c r="B13" s="17"/>
      <c r="C13" s="17"/>
      <c r="D13" s="17"/>
      <c r="E13" s="13"/>
      <c r="F13" s="14"/>
      <c r="G13" s="14"/>
      <c r="H13" s="14"/>
      <c r="I13" s="14"/>
      <c r="J13" s="484"/>
      <c r="K13" s="485"/>
      <c r="L13" s="15"/>
      <c r="M13" s="15"/>
      <c r="N13" s="15"/>
      <c r="O13" s="514"/>
      <c r="P13" s="515"/>
      <c r="Q13" s="13"/>
      <c r="R13" s="13"/>
      <c r="S13" s="13"/>
      <c r="T13" s="13"/>
      <c r="U13" s="13"/>
      <c r="V13" s="186"/>
      <c r="W13" s="236"/>
      <c r="X13" s="237"/>
      <c r="AA13" s="33" t="str">
        <f t="shared" si="0"/>
        <v>OK</v>
      </c>
      <c r="AB13" s="33" t="str">
        <f>IF(COUNTIF($H$8:$H$57,Data!KF8),Data!KG8,"")</f>
        <v/>
      </c>
      <c r="AG13" s="33" t="b">
        <f>IF(D13=Data!$OL$3,Data!$AP$1, IF(D13=Data!$OL$4,Data!$AP$1, IF(D13=Data!$OL$5,Data!$AQ$1, IF(D13=Data!$OL$6,Data!$AQ$1, IF(D13=Data!$OL$7,Data!$AR$1)))))</f>
        <v>0</v>
      </c>
    </row>
    <row r="14" spans="1:33" ht="30" customHeight="1">
      <c r="A14" s="53">
        <v>7</v>
      </c>
      <c r="B14" s="17"/>
      <c r="C14" s="17"/>
      <c r="D14" s="17"/>
      <c r="E14" s="13"/>
      <c r="F14" s="14"/>
      <c r="G14" s="14"/>
      <c r="H14" s="14"/>
      <c r="I14" s="14"/>
      <c r="J14" s="484"/>
      <c r="K14" s="485"/>
      <c r="L14" s="15"/>
      <c r="M14" s="15"/>
      <c r="N14" s="15"/>
      <c r="O14" s="514"/>
      <c r="P14" s="515"/>
      <c r="Q14" s="13"/>
      <c r="R14" s="13"/>
      <c r="S14" s="13"/>
      <c r="T14" s="13"/>
      <c r="U14" s="13"/>
      <c r="V14" s="186"/>
      <c r="W14" s="236"/>
      <c r="X14" s="237"/>
      <c r="AA14" s="33" t="str">
        <f t="shared" si="0"/>
        <v>OK</v>
      </c>
      <c r="AB14" s="33" t="str">
        <f>IF(COUNTIF($H$8:$H$57,Data!KF9),Data!KG9,"")</f>
        <v/>
      </c>
      <c r="AG14" s="33" t="b">
        <f>IF(D14=Data!$OL$3,Data!$AP$1, IF(D14=Data!$OL$4,Data!$AP$1, IF(D14=Data!$OL$5,Data!$AQ$1, IF(D14=Data!$OL$6,Data!$AQ$1, IF(D14=Data!$OL$7,Data!$AR$1)))))</f>
        <v>0</v>
      </c>
    </row>
    <row r="15" spans="1:33" ht="30" customHeight="1">
      <c r="A15" s="53">
        <v>8</v>
      </c>
      <c r="B15" s="20"/>
      <c r="C15" s="20"/>
      <c r="D15" s="17"/>
      <c r="E15" s="13"/>
      <c r="F15" s="14"/>
      <c r="G15" s="14"/>
      <c r="H15" s="14"/>
      <c r="I15" s="14"/>
      <c r="J15" s="484"/>
      <c r="K15" s="485"/>
      <c r="L15" s="15"/>
      <c r="M15" s="15"/>
      <c r="N15" s="15"/>
      <c r="O15" s="514"/>
      <c r="P15" s="515"/>
      <c r="Q15" s="13"/>
      <c r="R15" s="13"/>
      <c r="S15" s="13"/>
      <c r="T15" s="13"/>
      <c r="U15" s="13"/>
      <c r="V15" s="186"/>
      <c r="W15" s="236"/>
      <c r="X15" s="237"/>
      <c r="AA15" s="33" t="str">
        <f t="shared" si="0"/>
        <v>OK</v>
      </c>
      <c r="AB15" s="33" t="str">
        <f>IF(COUNTIF(AB8:AB14,Data!KG6),Data!KH6,"")</f>
        <v/>
      </c>
      <c r="AG15" s="33" t="b">
        <f>IF(D15=Data!$OL$3,Data!$AP$1, IF(D15=Data!$OL$4,Data!$AP$1, IF(D15=Data!$OL$5,Data!$AQ$1, IF(D15=Data!$OL$6,Data!$AQ$1, IF(D15=Data!$OL$7,Data!$AR$1)))))</f>
        <v>0</v>
      </c>
    </row>
    <row r="16" spans="1:33" ht="30" customHeight="1">
      <c r="A16" s="53">
        <v>9</v>
      </c>
      <c r="B16" s="17"/>
      <c r="C16" s="17"/>
      <c r="D16" s="17"/>
      <c r="E16" s="12"/>
      <c r="F16" s="14"/>
      <c r="G16" s="14"/>
      <c r="H16" s="14"/>
      <c r="I16" s="14"/>
      <c r="J16" s="484"/>
      <c r="K16" s="485"/>
      <c r="L16" s="15"/>
      <c r="M16" s="15"/>
      <c r="N16" s="15"/>
      <c r="O16" s="514"/>
      <c r="P16" s="515"/>
      <c r="Q16" s="13"/>
      <c r="R16" s="13"/>
      <c r="S16" s="13"/>
      <c r="T16" s="13"/>
      <c r="U16" s="13"/>
      <c r="V16" s="186"/>
      <c r="W16" s="236"/>
      <c r="X16" s="237"/>
      <c r="AA16" s="33" t="str">
        <f t="shared" si="0"/>
        <v>OK</v>
      </c>
      <c r="AB16" s="33" t="str">
        <f>IF(COUNTIF(AB8:AB14,Data!KG7),Data!KH7,"")</f>
        <v/>
      </c>
      <c r="AG16" s="33" t="b">
        <f>IF(D16=Data!$OL$3,Data!$AP$1, IF(D16=Data!$OL$4,Data!$AP$1, IF(D16=Data!$OL$5,Data!$AQ$1, IF(D16=Data!$OL$6,Data!$AQ$1, IF(D16=Data!$OL$7,Data!$AR$1)))))</f>
        <v>0</v>
      </c>
    </row>
    <row r="17" spans="1:33" ht="30" customHeight="1">
      <c r="A17" s="53">
        <v>10</v>
      </c>
      <c r="B17" s="17"/>
      <c r="C17" s="17"/>
      <c r="D17" s="17"/>
      <c r="E17" s="75"/>
      <c r="F17" s="14"/>
      <c r="G17" s="14"/>
      <c r="H17" s="14"/>
      <c r="I17" s="14"/>
      <c r="J17" s="484"/>
      <c r="K17" s="485"/>
      <c r="L17" s="15"/>
      <c r="M17" s="15"/>
      <c r="N17" s="15"/>
      <c r="O17" s="514"/>
      <c r="P17" s="515"/>
      <c r="Q17" s="13"/>
      <c r="R17" s="13"/>
      <c r="S17" s="13"/>
      <c r="T17" s="13"/>
      <c r="U17" s="13"/>
      <c r="V17" s="186"/>
      <c r="W17" s="236"/>
      <c r="X17" s="237"/>
      <c r="AA17" s="33" t="str">
        <f t="shared" si="0"/>
        <v>OK</v>
      </c>
      <c r="AB17" s="33" t="str">
        <f>AB15&amp;" &amp; "&amp;AB16&amp;""</f>
        <v xml:space="preserve"> &amp; </v>
      </c>
      <c r="AG17" s="33" t="b">
        <f>IF(D17=Data!$OL$3,Data!$AP$1, IF(D17=Data!$OL$4,Data!$AP$1, IF(D17=Data!$OL$5,Data!$AQ$1, IF(D17=Data!$OL$6,Data!$AQ$1, IF(D17=Data!$OL$7,Data!$AR$1)))))</f>
        <v>0</v>
      </c>
    </row>
    <row r="18" spans="1:33" ht="30" customHeight="1">
      <c r="A18" s="53">
        <v>11</v>
      </c>
      <c r="B18" s="17"/>
      <c r="C18" s="17"/>
      <c r="D18" s="17"/>
      <c r="E18" s="75"/>
      <c r="F18" s="14"/>
      <c r="G18" s="14"/>
      <c r="H18" s="14"/>
      <c r="I18" s="14"/>
      <c r="J18" s="484"/>
      <c r="K18" s="485"/>
      <c r="L18" s="15"/>
      <c r="M18" s="15"/>
      <c r="N18" s="15"/>
      <c r="O18" s="514"/>
      <c r="P18" s="515"/>
      <c r="Q18" s="13"/>
      <c r="R18" s="13"/>
      <c r="S18" s="13"/>
      <c r="T18" s="13"/>
      <c r="U18" s="13"/>
      <c r="V18" s="186"/>
      <c r="W18" s="236"/>
      <c r="X18" s="237"/>
      <c r="AA18" s="33" t="str">
        <f t="shared" si="0"/>
        <v>OK</v>
      </c>
      <c r="AB18" s="33" t="str">
        <f>IF(AB17="Corner &amp; Bay","Corner &amp; Bay Window Diagram Must Be Supplied",IF(AB15="Corner","Corner Window Diagram Must Be Supplied",IF(AB16="Bay","Bay Window Diagram Must Be Supplied","")))</f>
        <v/>
      </c>
      <c r="AG18" s="33" t="b">
        <f>IF(D18=Data!$OL$3,Data!$AP$1, IF(D18=Data!$OL$4,Data!$AP$1, IF(D18=Data!$OL$5,Data!$AQ$1, IF(D18=Data!$OL$6,Data!$AQ$1, IF(D18=Data!$OL$7,Data!$AR$1)))))</f>
        <v>0</v>
      </c>
    </row>
    <row r="19" spans="1:33" ht="30" customHeight="1">
      <c r="A19" s="53">
        <v>12</v>
      </c>
      <c r="B19" s="17"/>
      <c r="C19" s="17"/>
      <c r="D19" s="17"/>
      <c r="E19" s="75"/>
      <c r="F19" s="14"/>
      <c r="G19" s="14"/>
      <c r="H19" s="14"/>
      <c r="I19" s="14"/>
      <c r="J19" s="484"/>
      <c r="K19" s="485"/>
      <c r="L19" s="15"/>
      <c r="M19" s="15"/>
      <c r="N19" s="15"/>
      <c r="O19" s="514"/>
      <c r="P19" s="515"/>
      <c r="Q19" s="13"/>
      <c r="R19" s="13"/>
      <c r="S19" s="13"/>
      <c r="T19" s="13"/>
      <c r="U19" s="13"/>
      <c r="V19" s="186"/>
      <c r="W19" s="236"/>
      <c r="X19" s="237"/>
      <c r="AA19" s="33" t="str">
        <f t="shared" si="0"/>
        <v>OK</v>
      </c>
      <c r="AG19" s="33" t="b">
        <f>IF(D19=Data!$OL$3,Data!$AP$1, IF(D19=Data!$OL$4,Data!$AP$1, IF(D19=Data!$OL$5,Data!$AQ$1, IF(D19=Data!$OL$6,Data!$AQ$1, IF(D19=Data!$OL$7,Data!$AR$1)))))</f>
        <v>0</v>
      </c>
    </row>
    <row r="20" spans="1:33" ht="30" customHeight="1">
      <c r="A20" s="53">
        <v>13</v>
      </c>
      <c r="B20" s="17"/>
      <c r="C20" s="17"/>
      <c r="D20" s="17"/>
      <c r="E20" s="75"/>
      <c r="F20" s="14"/>
      <c r="G20" s="14"/>
      <c r="H20" s="14"/>
      <c r="I20" s="14"/>
      <c r="J20" s="484"/>
      <c r="K20" s="485"/>
      <c r="L20" s="15"/>
      <c r="M20" s="15"/>
      <c r="N20" s="15"/>
      <c r="O20" s="514"/>
      <c r="P20" s="515"/>
      <c r="Q20" s="13"/>
      <c r="R20" s="13"/>
      <c r="S20" s="13"/>
      <c r="T20" s="13"/>
      <c r="U20" s="13"/>
      <c r="V20" s="186"/>
      <c r="W20" s="236"/>
      <c r="X20" s="237"/>
      <c r="AA20" s="33" t="str">
        <f t="shared" si="0"/>
        <v>OK</v>
      </c>
      <c r="AG20" s="33" t="b">
        <f>IF(D20=Data!$OL$3,Data!$AP$1, IF(D20=Data!$OL$4,Data!$AP$1, IF(D20=Data!$OL$5,Data!$AQ$1, IF(D20=Data!$OL$6,Data!$AQ$1, IF(D20=Data!$OL$7,Data!$AR$1)))))</f>
        <v>0</v>
      </c>
    </row>
    <row r="21" spans="1:33" ht="30" customHeight="1">
      <c r="A21" s="53">
        <v>14</v>
      </c>
      <c r="B21" s="17"/>
      <c r="C21" s="17"/>
      <c r="D21" s="17"/>
      <c r="E21" s="75"/>
      <c r="F21" s="14"/>
      <c r="G21" s="14"/>
      <c r="H21" s="14"/>
      <c r="I21" s="14"/>
      <c r="J21" s="484"/>
      <c r="K21" s="485"/>
      <c r="L21" s="15"/>
      <c r="M21" s="15"/>
      <c r="N21" s="15"/>
      <c r="O21" s="514"/>
      <c r="P21" s="515"/>
      <c r="Q21" s="13"/>
      <c r="R21" s="13"/>
      <c r="S21" s="13"/>
      <c r="T21" s="13"/>
      <c r="U21" s="13"/>
      <c r="V21" s="186"/>
      <c r="W21" s="236"/>
      <c r="X21" s="237"/>
      <c r="AA21" s="33" t="str">
        <f t="shared" si="0"/>
        <v>OK</v>
      </c>
      <c r="AG21" s="33" t="b">
        <f>IF(D21=Data!$OL$3,Data!$AP$1, IF(D21=Data!$OL$4,Data!$AP$1, IF(D21=Data!$OL$5,Data!$AQ$1, IF(D21=Data!$OL$6,Data!$AQ$1, IF(D21=Data!$OL$7,Data!$AR$1)))))</f>
        <v>0</v>
      </c>
    </row>
    <row r="22" spans="1:33" ht="30" customHeight="1">
      <c r="A22" s="53">
        <v>15</v>
      </c>
      <c r="B22" s="17"/>
      <c r="C22" s="17"/>
      <c r="D22" s="17"/>
      <c r="E22" s="75"/>
      <c r="F22" s="14"/>
      <c r="G22" s="14"/>
      <c r="H22" s="14"/>
      <c r="I22" s="14"/>
      <c r="J22" s="484"/>
      <c r="K22" s="485"/>
      <c r="L22" s="15"/>
      <c r="M22" s="15"/>
      <c r="N22" s="15"/>
      <c r="O22" s="514"/>
      <c r="P22" s="515"/>
      <c r="Q22" s="13"/>
      <c r="R22" s="13"/>
      <c r="S22" s="13"/>
      <c r="T22" s="13"/>
      <c r="U22" s="13"/>
      <c r="V22" s="186"/>
      <c r="W22" s="236"/>
      <c r="X22" s="237"/>
      <c r="AA22" s="33" t="str">
        <f t="shared" si="0"/>
        <v>OK</v>
      </c>
      <c r="AG22" s="33" t="b">
        <f>IF(D22=Data!$OL$3,Data!$AP$1, IF(D22=Data!$OL$4,Data!$AP$1, IF(D22=Data!$OL$5,Data!$AQ$1, IF(D22=Data!$OL$6,Data!$AQ$1, IF(D22=Data!$OL$7,Data!$AR$1)))))</f>
        <v>0</v>
      </c>
    </row>
    <row r="23" spans="1:33" ht="30" customHeight="1">
      <c r="A23" s="53">
        <v>16</v>
      </c>
      <c r="B23" s="17"/>
      <c r="C23" s="17"/>
      <c r="D23" s="17"/>
      <c r="E23" s="75"/>
      <c r="F23" s="14"/>
      <c r="G23" s="14"/>
      <c r="H23" s="14"/>
      <c r="I23" s="14"/>
      <c r="J23" s="484"/>
      <c r="K23" s="485"/>
      <c r="L23" s="15"/>
      <c r="M23" s="15"/>
      <c r="N23" s="15"/>
      <c r="O23" s="514"/>
      <c r="P23" s="515"/>
      <c r="Q23" s="13"/>
      <c r="R23" s="13"/>
      <c r="S23" s="13"/>
      <c r="T23" s="13"/>
      <c r="U23" s="13"/>
      <c r="V23" s="186"/>
      <c r="W23" s="236"/>
      <c r="X23" s="237"/>
      <c r="AA23" s="33" t="str">
        <f t="shared" si="0"/>
        <v>OK</v>
      </c>
      <c r="AG23" s="33" t="b">
        <f>IF(D23=Data!$OL$3,Data!$AP$1, IF(D23=Data!$OL$4,Data!$AP$1, IF(D23=Data!$OL$5,Data!$AQ$1, IF(D23=Data!$OL$6,Data!$AQ$1, IF(D23=Data!$OL$7,Data!$AR$1)))))</f>
        <v>0</v>
      </c>
    </row>
    <row r="24" spans="1:33" ht="30" customHeight="1">
      <c r="A24" s="53">
        <v>17</v>
      </c>
      <c r="B24" s="20"/>
      <c r="C24" s="20"/>
      <c r="D24" s="17"/>
      <c r="E24" s="75"/>
      <c r="F24" s="14"/>
      <c r="G24" s="14"/>
      <c r="H24" s="14"/>
      <c r="I24" s="14"/>
      <c r="J24" s="484"/>
      <c r="K24" s="485"/>
      <c r="L24" s="15"/>
      <c r="M24" s="15"/>
      <c r="N24" s="15"/>
      <c r="O24" s="514"/>
      <c r="P24" s="515"/>
      <c r="Q24" s="13"/>
      <c r="R24" s="13"/>
      <c r="S24" s="13"/>
      <c r="T24" s="13"/>
      <c r="U24" s="13"/>
      <c r="V24" s="186"/>
      <c r="W24" s="236"/>
      <c r="X24" s="237"/>
      <c r="AA24" s="33" t="str">
        <f t="shared" si="0"/>
        <v>OK</v>
      </c>
      <c r="AG24" s="33" t="b">
        <f>IF(D24=Data!$OL$3,Data!$AP$1, IF(D24=Data!$OL$4,Data!$AP$1, IF(D24=Data!$OL$5,Data!$AQ$1, IF(D24=Data!$OL$6,Data!$AQ$1, IF(D24=Data!$OL$7,Data!$AR$1)))))</f>
        <v>0</v>
      </c>
    </row>
    <row r="25" spans="1:33" ht="30" customHeight="1">
      <c r="A25" s="53">
        <v>18</v>
      </c>
      <c r="B25" s="17"/>
      <c r="C25" s="17"/>
      <c r="D25" s="17"/>
      <c r="E25" s="75"/>
      <c r="F25" s="14"/>
      <c r="G25" s="14"/>
      <c r="H25" s="14"/>
      <c r="I25" s="14"/>
      <c r="J25" s="484"/>
      <c r="K25" s="485"/>
      <c r="L25" s="15"/>
      <c r="M25" s="15"/>
      <c r="N25" s="15"/>
      <c r="O25" s="514"/>
      <c r="P25" s="515"/>
      <c r="Q25" s="13"/>
      <c r="R25" s="13"/>
      <c r="S25" s="13"/>
      <c r="T25" s="13"/>
      <c r="U25" s="13"/>
      <c r="V25" s="186"/>
      <c r="W25" s="236"/>
      <c r="X25" s="237"/>
      <c r="AA25" s="33" t="str">
        <f t="shared" si="0"/>
        <v>OK</v>
      </c>
      <c r="AG25" s="33" t="b">
        <f>IF(D25=Data!$OL$3,Data!$AP$1, IF(D25=Data!$OL$4,Data!$AP$1, IF(D25=Data!$OL$5,Data!$AQ$1, IF(D25=Data!$OL$6,Data!$AQ$1, IF(D25=Data!$OL$7,Data!$AR$1)))))</f>
        <v>0</v>
      </c>
    </row>
    <row r="26" spans="1:33" ht="30" customHeight="1">
      <c r="A26" s="53">
        <v>19</v>
      </c>
      <c r="B26" s="17"/>
      <c r="C26" s="17"/>
      <c r="D26" s="17"/>
      <c r="E26" s="75"/>
      <c r="F26" s="14"/>
      <c r="G26" s="14"/>
      <c r="H26" s="14"/>
      <c r="I26" s="14"/>
      <c r="J26" s="484"/>
      <c r="K26" s="485"/>
      <c r="L26" s="15"/>
      <c r="M26" s="15"/>
      <c r="N26" s="15"/>
      <c r="O26" s="514"/>
      <c r="P26" s="515"/>
      <c r="Q26" s="13"/>
      <c r="R26" s="13"/>
      <c r="S26" s="13"/>
      <c r="T26" s="13"/>
      <c r="U26" s="13"/>
      <c r="V26" s="186"/>
      <c r="W26" s="236"/>
      <c r="X26" s="237"/>
      <c r="AA26" s="33" t="str">
        <f t="shared" si="0"/>
        <v>OK</v>
      </c>
      <c r="AG26" s="33" t="b">
        <f>IF(D26=Data!$OL$3,Data!$AP$1, IF(D26=Data!$OL$4,Data!$AP$1, IF(D26=Data!$OL$5,Data!$AQ$1, IF(D26=Data!$OL$6,Data!$AQ$1, IF(D26=Data!$OL$7,Data!$AR$1)))))</f>
        <v>0</v>
      </c>
    </row>
    <row r="27" spans="1:33" ht="30" customHeight="1">
      <c r="A27" s="53">
        <v>20</v>
      </c>
      <c r="B27" s="13"/>
      <c r="C27" s="17"/>
      <c r="D27" s="17"/>
      <c r="E27" s="75"/>
      <c r="F27" s="14"/>
      <c r="G27" s="14"/>
      <c r="H27" s="14"/>
      <c r="I27" s="14"/>
      <c r="J27" s="484"/>
      <c r="K27" s="485"/>
      <c r="L27" s="15"/>
      <c r="M27" s="15"/>
      <c r="N27" s="15"/>
      <c r="O27" s="514"/>
      <c r="P27" s="515"/>
      <c r="Q27" s="13"/>
      <c r="R27" s="13"/>
      <c r="S27" s="13"/>
      <c r="T27" s="13"/>
      <c r="U27" s="13"/>
      <c r="V27" s="186"/>
      <c r="W27" s="236"/>
      <c r="X27" s="237"/>
      <c r="AA27" s="33" t="str">
        <f t="shared" si="0"/>
        <v>OK</v>
      </c>
      <c r="AG27" s="33" t="b">
        <f>IF(D27=Data!$OL$3,Data!$AP$1, IF(D27=Data!$OL$4,Data!$AP$1, IF(D27=Data!$OL$5,Data!$AQ$1, IF(D27=Data!$OL$6,Data!$AQ$1, IF(D27=Data!$OL$7,Data!$AR$1)))))</f>
        <v>0</v>
      </c>
    </row>
    <row r="28" spans="1:33" ht="30" customHeight="1">
      <c r="A28" s="53">
        <v>21</v>
      </c>
      <c r="B28" s="13"/>
      <c r="C28" s="17"/>
      <c r="D28" s="17"/>
      <c r="E28" s="75"/>
      <c r="F28" s="14"/>
      <c r="G28" s="14"/>
      <c r="H28" s="14"/>
      <c r="I28" s="14"/>
      <c r="J28" s="484"/>
      <c r="K28" s="485"/>
      <c r="L28" s="15"/>
      <c r="M28" s="15"/>
      <c r="N28" s="15"/>
      <c r="O28" s="514"/>
      <c r="P28" s="515"/>
      <c r="Q28" s="13"/>
      <c r="R28" s="13"/>
      <c r="S28" s="13"/>
      <c r="T28" s="13"/>
      <c r="U28" s="13"/>
      <c r="V28" s="186"/>
      <c r="W28" s="236"/>
      <c r="X28" s="237"/>
      <c r="AA28" s="33" t="str">
        <f t="shared" si="0"/>
        <v>OK</v>
      </c>
      <c r="AG28" s="33" t="b">
        <f>IF(D28=Data!$OL$3,Data!$AP$1, IF(D28=Data!$OL$4,Data!$AP$1, IF(D28=Data!$OL$5,Data!$AQ$1, IF(D28=Data!$OL$6,Data!$AQ$1, IF(D28=Data!$OL$7,Data!$AR$1)))))</f>
        <v>0</v>
      </c>
    </row>
    <row r="29" spans="1:33" ht="30" customHeight="1">
      <c r="A29" s="53">
        <v>22</v>
      </c>
      <c r="B29" s="13"/>
      <c r="C29" s="17"/>
      <c r="D29" s="17"/>
      <c r="E29" s="75"/>
      <c r="F29" s="14"/>
      <c r="G29" s="14"/>
      <c r="H29" s="14"/>
      <c r="I29" s="14"/>
      <c r="J29" s="484"/>
      <c r="K29" s="485"/>
      <c r="L29" s="15"/>
      <c r="M29" s="15"/>
      <c r="N29" s="15"/>
      <c r="O29" s="514"/>
      <c r="P29" s="515"/>
      <c r="Q29" s="13"/>
      <c r="R29" s="13"/>
      <c r="S29" s="13"/>
      <c r="T29" s="13"/>
      <c r="U29" s="13"/>
      <c r="V29" s="186"/>
      <c r="W29" s="236"/>
      <c r="X29" s="237"/>
      <c r="AA29" s="33" t="str">
        <f t="shared" si="0"/>
        <v>OK</v>
      </c>
      <c r="AG29" s="33" t="b">
        <f>IF(D29=Data!$OL$3,Data!$AP$1, IF(D29=Data!$OL$4,Data!$AP$1, IF(D29=Data!$OL$5,Data!$AQ$1, IF(D29=Data!$OL$6,Data!$AQ$1, IF(D29=Data!$OL$7,Data!$AR$1)))))</f>
        <v>0</v>
      </c>
    </row>
    <row r="30" spans="1:33" ht="30" customHeight="1">
      <c r="A30" s="53">
        <v>23</v>
      </c>
      <c r="B30" s="13"/>
      <c r="C30" s="17"/>
      <c r="D30" s="17"/>
      <c r="E30" s="75"/>
      <c r="F30" s="14"/>
      <c r="G30" s="14"/>
      <c r="H30" s="14"/>
      <c r="I30" s="14"/>
      <c r="J30" s="484"/>
      <c r="K30" s="485"/>
      <c r="L30" s="15"/>
      <c r="M30" s="15"/>
      <c r="N30" s="15"/>
      <c r="O30" s="514"/>
      <c r="P30" s="515"/>
      <c r="Q30" s="13"/>
      <c r="R30" s="13"/>
      <c r="S30" s="13"/>
      <c r="T30" s="13"/>
      <c r="U30" s="13"/>
      <c r="V30" s="186"/>
      <c r="W30" s="236"/>
      <c r="X30" s="237"/>
      <c r="AA30" s="33" t="str">
        <f t="shared" si="0"/>
        <v>OK</v>
      </c>
      <c r="AG30" s="33" t="b">
        <f>IF(D30=Data!$OL$3,Data!$AP$1, IF(D30=Data!$OL$4,Data!$AP$1, IF(D30=Data!$OL$5,Data!$AQ$1, IF(D30=Data!$OL$6,Data!$AQ$1, IF(D30=Data!$OL$7,Data!$AR$1)))))</f>
        <v>0</v>
      </c>
    </row>
    <row r="31" spans="1:33" ht="30" customHeight="1">
      <c r="A31" s="53">
        <v>24</v>
      </c>
      <c r="B31" s="13"/>
      <c r="C31" s="17"/>
      <c r="D31" s="17"/>
      <c r="E31" s="75"/>
      <c r="F31" s="14"/>
      <c r="G31" s="14"/>
      <c r="H31" s="14"/>
      <c r="I31" s="14"/>
      <c r="J31" s="484"/>
      <c r="K31" s="485"/>
      <c r="L31" s="15"/>
      <c r="M31" s="15"/>
      <c r="N31" s="15"/>
      <c r="O31" s="514"/>
      <c r="P31" s="515"/>
      <c r="Q31" s="13"/>
      <c r="R31" s="13"/>
      <c r="S31" s="13"/>
      <c r="T31" s="13"/>
      <c r="U31" s="13"/>
      <c r="V31" s="186"/>
      <c r="W31" s="236"/>
      <c r="X31" s="237"/>
      <c r="AA31" s="33" t="str">
        <f t="shared" si="0"/>
        <v>OK</v>
      </c>
      <c r="AG31" s="33" t="b">
        <f>IF(D31=Data!$OL$3,Data!$AP$1, IF(D31=Data!$OL$4,Data!$AP$1, IF(D31=Data!$OL$5,Data!$AQ$1, IF(D31=Data!$OL$6,Data!$AQ$1, IF(D31=Data!$OL$7,Data!$AR$1)))))</f>
        <v>0</v>
      </c>
    </row>
    <row r="32" spans="1:33" ht="30" customHeight="1">
      <c r="A32" s="53">
        <v>25</v>
      </c>
      <c r="B32" s="13"/>
      <c r="C32" s="17"/>
      <c r="D32" s="17"/>
      <c r="E32" s="75"/>
      <c r="F32" s="14"/>
      <c r="G32" s="14"/>
      <c r="H32" s="14"/>
      <c r="I32" s="14"/>
      <c r="J32" s="484"/>
      <c r="K32" s="485"/>
      <c r="L32" s="15"/>
      <c r="M32" s="15"/>
      <c r="N32" s="15"/>
      <c r="O32" s="514"/>
      <c r="P32" s="515"/>
      <c r="Q32" s="13"/>
      <c r="R32" s="13"/>
      <c r="S32" s="13"/>
      <c r="T32" s="13"/>
      <c r="U32" s="13"/>
      <c r="V32" s="186"/>
      <c r="W32" s="236"/>
      <c r="X32" s="237"/>
      <c r="AA32" s="33" t="str">
        <f t="shared" si="0"/>
        <v>OK</v>
      </c>
      <c r="AG32" s="33" t="b">
        <f>IF(D32=Data!$OL$3,Data!$AP$1, IF(D32=Data!$OL$4,Data!$AP$1, IF(D32=Data!$OL$5,Data!$AQ$1, IF(D32=Data!$OL$6,Data!$AQ$1, IF(D32=Data!$OL$7,Data!$AR$1)))))</f>
        <v>0</v>
      </c>
    </row>
    <row r="33" spans="1:33" ht="30" customHeight="1">
      <c r="A33" s="53">
        <v>26</v>
      </c>
      <c r="B33" s="13"/>
      <c r="C33" s="17"/>
      <c r="D33" s="17"/>
      <c r="E33" s="75"/>
      <c r="F33" s="14"/>
      <c r="G33" s="14"/>
      <c r="H33" s="14"/>
      <c r="I33" s="14"/>
      <c r="J33" s="484"/>
      <c r="K33" s="485"/>
      <c r="L33" s="15"/>
      <c r="M33" s="15"/>
      <c r="N33" s="15"/>
      <c r="O33" s="514"/>
      <c r="P33" s="515"/>
      <c r="Q33" s="13"/>
      <c r="R33" s="13"/>
      <c r="S33" s="13"/>
      <c r="T33" s="13"/>
      <c r="U33" s="13"/>
      <c r="V33" s="186"/>
      <c r="W33" s="236"/>
      <c r="X33" s="237"/>
      <c r="AA33" s="33" t="str">
        <f t="shared" si="0"/>
        <v>OK</v>
      </c>
      <c r="AG33" s="33" t="b">
        <f>IF(D33=Data!$OL$3,Data!$AP$1, IF(D33=Data!$OL$4,Data!$AP$1, IF(D33=Data!$OL$5,Data!$AQ$1, IF(D33=Data!$OL$6,Data!$AQ$1, IF(D33=Data!$OL$7,Data!$AR$1)))))</f>
        <v>0</v>
      </c>
    </row>
    <row r="34" spans="1:33" ht="30" customHeight="1">
      <c r="A34" s="53">
        <v>27</v>
      </c>
      <c r="B34" s="19"/>
      <c r="C34" s="20"/>
      <c r="D34" s="17"/>
      <c r="E34" s="75"/>
      <c r="F34" s="14"/>
      <c r="G34" s="14"/>
      <c r="H34" s="14"/>
      <c r="I34" s="14"/>
      <c r="J34" s="484"/>
      <c r="K34" s="485"/>
      <c r="L34" s="15"/>
      <c r="M34" s="15"/>
      <c r="N34" s="15"/>
      <c r="O34" s="514"/>
      <c r="P34" s="515"/>
      <c r="Q34" s="13"/>
      <c r="R34" s="13"/>
      <c r="S34" s="13"/>
      <c r="T34" s="13"/>
      <c r="U34" s="13"/>
      <c r="V34" s="186"/>
      <c r="W34" s="236"/>
      <c r="X34" s="237"/>
      <c r="AA34" s="33" t="str">
        <f t="shared" si="0"/>
        <v>OK</v>
      </c>
      <c r="AG34" s="33" t="b">
        <f>IF(D34=Data!$OL$3,Data!$AP$1, IF(D34=Data!$OL$4,Data!$AP$1, IF(D34=Data!$OL$5,Data!$AQ$1, IF(D34=Data!$OL$6,Data!$AQ$1, IF(D34=Data!$OL$7,Data!$AR$1)))))</f>
        <v>0</v>
      </c>
    </row>
    <row r="35" spans="1:33" ht="30" customHeight="1">
      <c r="A35" s="53">
        <v>28</v>
      </c>
      <c r="B35" s="13"/>
      <c r="C35" s="17"/>
      <c r="D35" s="17"/>
      <c r="E35" s="75"/>
      <c r="F35" s="14"/>
      <c r="G35" s="14"/>
      <c r="H35" s="14"/>
      <c r="I35" s="14"/>
      <c r="J35" s="484"/>
      <c r="K35" s="485"/>
      <c r="L35" s="15"/>
      <c r="M35" s="15"/>
      <c r="N35" s="15"/>
      <c r="O35" s="514"/>
      <c r="P35" s="515"/>
      <c r="Q35" s="13"/>
      <c r="R35" s="13"/>
      <c r="S35" s="13"/>
      <c r="T35" s="13"/>
      <c r="U35" s="13"/>
      <c r="V35" s="186"/>
      <c r="W35" s="236"/>
      <c r="X35" s="237"/>
      <c r="AA35" s="33" t="str">
        <f t="shared" si="0"/>
        <v>OK</v>
      </c>
      <c r="AG35" s="33" t="b">
        <f>IF(D35=Data!$OL$3,Data!$AP$1, IF(D35=Data!$OL$4,Data!$AP$1, IF(D35=Data!$OL$5,Data!$AQ$1, IF(D35=Data!$OL$6,Data!$AQ$1, IF(D35=Data!$OL$7,Data!$AR$1)))))</f>
        <v>0</v>
      </c>
    </row>
    <row r="36" spans="1:33" ht="30" customHeight="1">
      <c r="A36" s="53">
        <v>29</v>
      </c>
      <c r="B36" s="13"/>
      <c r="C36" s="17"/>
      <c r="D36" s="17"/>
      <c r="E36" s="75"/>
      <c r="F36" s="14"/>
      <c r="G36" s="14"/>
      <c r="H36" s="14"/>
      <c r="I36" s="14"/>
      <c r="J36" s="484"/>
      <c r="K36" s="485"/>
      <c r="L36" s="15"/>
      <c r="M36" s="15"/>
      <c r="N36" s="15"/>
      <c r="O36" s="514"/>
      <c r="P36" s="515"/>
      <c r="Q36" s="13"/>
      <c r="R36" s="13"/>
      <c r="S36" s="13"/>
      <c r="T36" s="13"/>
      <c r="U36" s="13"/>
      <c r="V36" s="186"/>
      <c r="W36" s="236"/>
      <c r="X36" s="237"/>
      <c r="AA36" s="33" t="str">
        <f t="shared" si="0"/>
        <v>OK</v>
      </c>
      <c r="AG36" s="33" t="b">
        <f>IF(D36=Data!$OL$3,Data!$AP$1, IF(D36=Data!$OL$4,Data!$AP$1, IF(D36=Data!$OL$5,Data!$AQ$1, IF(D36=Data!$OL$6,Data!$AQ$1, IF(D36=Data!$OL$7,Data!$AR$1)))))</f>
        <v>0</v>
      </c>
    </row>
    <row r="37" spans="1:33" ht="30" customHeight="1">
      <c r="A37" s="53">
        <v>30</v>
      </c>
      <c r="B37" s="13"/>
      <c r="C37" s="13"/>
      <c r="D37" s="13"/>
      <c r="E37" s="13"/>
      <c r="F37" s="14"/>
      <c r="G37" s="14"/>
      <c r="H37" s="14"/>
      <c r="I37" s="14"/>
      <c r="J37" s="484"/>
      <c r="K37" s="485"/>
      <c r="L37" s="15"/>
      <c r="M37" s="15"/>
      <c r="N37" s="15"/>
      <c r="O37" s="514"/>
      <c r="P37" s="515"/>
      <c r="Q37" s="13"/>
      <c r="R37" s="13"/>
      <c r="S37" s="13"/>
      <c r="T37" s="13"/>
      <c r="U37" s="13"/>
      <c r="V37" s="186"/>
      <c r="W37" s="236"/>
      <c r="X37" s="237"/>
      <c r="AA37" s="33" t="str">
        <f t="shared" si="0"/>
        <v>OK</v>
      </c>
      <c r="AG37" s="33" t="b">
        <f>IF(D37=Data!$OL$3,Data!$AP$1, IF(D37=Data!$OL$4,Data!$AP$1, IF(D37=Data!$OL$5,Data!$AQ$1, IF(D37=Data!$OL$6,Data!$AQ$1, IF(D37=Data!$OL$7,Data!$AR$1)))))</f>
        <v>0</v>
      </c>
    </row>
    <row r="38" spans="1:33" ht="30" customHeight="1">
      <c r="A38" s="53">
        <v>31</v>
      </c>
      <c r="B38" s="13"/>
      <c r="C38" s="13"/>
      <c r="D38" s="13"/>
      <c r="E38" s="13"/>
      <c r="F38" s="14"/>
      <c r="G38" s="14"/>
      <c r="H38" s="14"/>
      <c r="I38" s="14"/>
      <c r="J38" s="484"/>
      <c r="K38" s="485"/>
      <c r="L38" s="15"/>
      <c r="M38" s="15"/>
      <c r="N38" s="15"/>
      <c r="O38" s="514"/>
      <c r="P38" s="515"/>
      <c r="Q38" s="13"/>
      <c r="R38" s="13"/>
      <c r="S38" s="13"/>
      <c r="T38" s="13"/>
      <c r="U38" s="13"/>
      <c r="V38" s="186"/>
      <c r="W38" s="236"/>
      <c r="X38" s="237"/>
      <c r="AA38" s="33" t="str">
        <f t="shared" si="0"/>
        <v>OK</v>
      </c>
      <c r="AG38" s="33" t="b">
        <f>IF(D38=Data!$OL$3,Data!$AP$1, IF(D38=Data!$OL$4,Data!$AP$1, IF(D38=Data!$OL$5,Data!$AQ$1, IF(D38=Data!$OL$6,Data!$AQ$1, IF(D38=Data!$OL$7,Data!$AR$1)))))</f>
        <v>0</v>
      </c>
    </row>
    <row r="39" spans="1:33" ht="30" customHeight="1">
      <c r="A39" s="53">
        <v>32</v>
      </c>
      <c r="B39" s="13"/>
      <c r="C39" s="17"/>
      <c r="D39" s="17"/>
      <c r="E39" s="12"/>
      <c r="F39" s="14"/>
      <c r="G39" s="14"/>
      <c r="H39" s="14"/>
      <c r="I39" s="14"/>
      <c r="J39" s="484"/>
      <c r="K39" s="485"/>
      <c r="L39" s="15"/>
      <c r="M39" s="15"/>
      <c r="N39" s="15"/>
      <c r="O39" s="514"/>
      <c r="P39" s="515"/>
      <c r="Q39" s="13"/>
      <c r="R39" s="13"/>
      <c r="S39" s="13"/>
      <c r="T39" s="13"/>
      <c r="U39" s="13"/>
      <c r="V39" s="186"/>
      <c r="W39" s="236"/>
      <c r="X39" s="237"/>
      <c r="AA39" s="33" t="str">
        <f t="shared" si="0"/>
        <v>OK</v>
      </c>
      <c r="AG39" s="33" t="b">
        <f>IF(D39=Data!$OL$3,Data!$AP$1, IF(D39=Data!$OL$4,Data!$AP$1, IF(D39=Data!$OL$5,Data!$AQ$1, IF(D39=Data!$OL$6,Data!$AQ$1, IF(D39=Data!$OL$7,Data!$AR$1)))))</f>
        <v>0</v>
      </c>
    </row>
    <row r="40" spans="1:33" ht="30" customHeight="1">
      <c r="A40" s="53">
        <v>33</v>
      </c>
      <c r="B40" s="13"/>
      <c r="C40" s="17"/>
      <c r="D40" s="13"/>
      <c r="E40" s="13"/>
      <c r="F40" s="14"/>
      <c r="G40" s="14"/>
      <c r="H40" s="14"/>
      <c r="I40" s="14"/>
      <c r="J40" s="484"/>
      <c r="K40" s="485"/>
      <c r="L40" s="15"/>
      <c r="M40" s="15"/>
      <c r="N40" s="15"/>
      <c r="O40" s="514"/>
      <c r="P40" s="515"/>
      <c r="Q40" s="13"/>
      <c r="R40" s="13"/>
      <c r="S40" s="13"/>
      <c r="T40" s="13"/>
      <c r="U40" s="13"/>
      <c r="V40" s="186"/>
      <c r="W40" s="236"/>
      <c r="X40" s="237"/>
      <c r="AA40" s="33" t="str">
        <f t="shared" si="0"/>
        <v>OK</v>
      </c>
      <c r="AG40" s="33" t="b">
        <f>IF(D40=Data!$OL$3,Data!$AP$1, IF(D40=Data!$OL$4,Data!$AP$1, IF(D40=Data!$OL$5,Data!$AQ$1, IF(D40=Data!$OL$6,Data!$AQ$1, IF(D40=Data!$OL$7,Data!$AR$1)))))</f>
        <v>0</v>
      </c>
    </row>
    <row r="41" spans="1:33" ht="30" customHeight="1">
      <c r="A41" s="53">
        <v>34</v>
      </c>
      <c r="B41" s="13"/>
      <c r="C41" s="17"/>
      <c r="D41" s="13"/>
      <c r="E41" s="13"/>
      <c r="F41" s="14"/>
      <c r="G41" s="14"/>
      <c r="H41" s="14"/>
      <c r="I41" s="14"/>
      <c r="J41" s="484"/>
      <c r="K41" s="485"/>
      <c r="L41" s="15"/>
      <c r="M41" s="15"/>
      <c r="N41" s="15"/>
      <c r="O41" s="514"/>
      <c r="P41" s="515"/>
      <c r="Q41" s="13"/>
      <c r="R41" s="13"/>
      <c r="S41" s="13"/>
      <c r="T41" s="13"/>
      <c r="U41" s="13"/>
      <c r="V41" s="186"/>
      <c r="W41" s="236"/>
      <c r="X41" s="237"/>
      <c r="AA41" s="33" t="str">
        <f t="shared" si="0"/>
        <v>OK</v>
      </c>
      <c r="AG41" s="33" t="b">
        <f>IF(D41=Data!$OL$3,Data!$AP$1, IF(D41=Data!$OL$4,Data!$AP$1, IF(D41=Data!$OL$5,Data!$AQ$1, IF(D41=Data!$OL$6,Data!$AQ$1, IF(D41=Data!$OL$7,Data!$AR$1)))))</f>
        <v>0</v>
      </c>
    </row>
    <row r="42" spans="1:33" ht="30" customHeight="1">
      <c r="A42" s="53">
        <v>35</v>
      </c>
      <c r="B42" s="13"/>
      <c r="C42" s="17"/>
      <c r="D42" s="17"/>
      <c r="E42" s="75"/>
      <c r="F42" s="14"/>
      <c r="G42" s="14"/>
      <c r="H42" s="14"/>
      <c r="I42" s="14"/>
      <c r="J42" s="484"/>
      <c r="K42" s="485"/>
      <c r="L42" s="15"/>
      <c r="M42" s="15"/>
      <c r="N42" s="15"/>
      <c r="O42" s="514"/>
      <c r="P42" s="515"/>
      <c r="Q42" s="13"/>
      <c r="R42" s="13"/>
      <c r="S42" s="13"/>
      <c r="T42" s="13"/>
      <c r="U42" s="13"/>
      <c r="V42" s="186"/>
      <c r="W42" s="236"/>
      <c r="X42" s="237"/>
      <c r="AA42" s="33" t="str">
        <f t="shared" si="0"/>
        <v>OK</v>
      </c>
      <c r="AG42" s="33" t="b">
        <f>IF(D42=Data!$OL$3,Data!$AP$1, IF(D42=Data!$OL$4,Data!$AP$1, IF(D42=Data!$OL$5,Data!$AQ$1, IF(D42=Data!$OL$6,Data!$AQ$1, IF(D42=Data!$OL$7,Data!$AR$1)))))</f>
        <v>0</v>
      </c>
    </row>
    <row r="43" spans="1:33" ht="30" customHeight="1">
      <c r="A43" s="53">
        <v>36</v>
      </c>
      <c r="B43" s="13"/>
      <c r="C43" s="17"/>
      <c r="D43" s="17"/>
      <c r="E43" s="13"/>
      <c r="F43" s="14"/>
      <c r="G43" s="14"/>
      <c r="H43" s="14"/>
      <c r="I43" s="14"/>
      <c r="J43" s="484"/>
      <c r="K43" s="485"/>
      <c r="L43" s="15"/>
      <c r="M43" s="15"/>
      <c r="N43" s="15"/>
      <c r="O43" s="514"/>
      <c r="P43" s="515"/>
      <c r="Q43" s="13"/>
      <c r="R43" s="13"/>
      <c r="S43" s="13"/>
      <c r="T43" s="13"/>
      <c r="U43" s="13"/>
      <c r="V43" s="186"/>
      <c r="W43" s="236"/>
      <c r="X43" s="237"/>
      <c r="AA43" s="33" t="str">
        <f t="shared" si="0"/>
        <v>OK</v>
      </c>
      <c r="AG43" s="33" t="b">
        <f>IF(D43=Data!$OL$3,Data!$AP$1, IF(D43=Data!$OL$4,Data!$AP$1, IF(D43=Data!$OL$5,Data!$AQ$1, IF(D43=Data!$OL$6,Data!$AQ$1, IF(D43=Data!$OL$7,Data!$AR$1)))))</f>
        <v>0</v>
      </c>
    </row>
    <row r="44" spans="1:33" ht="30" customHeight="1">
      <c r="A44" s="53">
        <v>37</v>
      </c>
      <c r="B44" s="13"/>
      <c r="C44" s="17"/>
      <c r="D44" s="17"/>
      <c r="E44" s="12"/>
      <c r="F44" s="14"/>
      <c r="G44" s="14"/>
      <c r="H44" s="14"/>
      <c r="I44" s="14"/>
      <c r="J44" s="484"/>
      <c r="K44" s="485"/>
      <c r="L44" s="15"/>
      <c r="M44" s="15"/>
      <c r="N44" s="15"/>
      <c r="O44" s="514"/>
      <c r="P44" s="515"/>
      <c r="Q44" s="13"/>
      <c r="R44" s="13"/>
      <c r="S44" s="13"/>
      <c r="T44" s="13"/>
      <c r="U44" s="13"/>
      <c r="V44" s="186"/>
      <c r="W44" s="236"/>
      <c r="X44" s="237"/>
      <c r="AA44" s="33" t="str">
        <f t="shared" si="0"/>
        <v>OK</v>
      </c>
      <c r="AG44" s="33" t="b">
        <f>IF(D44=Data!$OL$3,Data!$AP$1, IF(D44=Data!$OL$4,Data!$AP$1, IF(D44=Data!$OL$5,Data!$AQ$1, IF(D44=Data!$OL$6,Data!$AQ$1, IF(D44=Data!$OL$7,Data!$AR$1)))))</f>
        <v>0</v>
      </c>
    </row>
    <row r="45" spans="1:33" ht="30" customHeight="1">
      <c r="A45" s="53">
        <v>38</v>
      </c>
      <c r="B45" s="13"/>
      <c r="C45" s="17"/>
      <c r="D45" s="17"/>
      <c r="E45" s="13"/>
      <c r="F45" s="14"/>
      <c r="G45" s="14"/>
      <c r="H45" s="14"/>
      <c r="I45" s="14"/>
      <c r="J45" s="484"/>
      <c r="K45" s="485"/>
      <c r="L45" s="15"/>
      <c r="M45" s="15"/>
      <c r="N45" s="15"/>
      <c r="O45" s="514"/>
      <c r="P45" s="515"/>
      <c r="Q45" s="13"/>
      <c r="R45" s="13"/>
      <c r="S45" s="13"/>
      <c r="T45" s="13"/>
      <c r="U45" s="13"/>
      <c r="V45" s="186"/>
      <c r="W45" s="236"/>
      <c r="X45" s="237"/>
      <c r="AA45" s="33" t="str">
        <f t="shared" si="0"/>
        <v>OK</v>
      </c>
      <c r="AG45" s="33" t="b">
        <f>IF(D45=Data!$OL$3,Data!$AP$1, IF(D45=Data!$OL$4,Data!$AP$1, IF(D45=Data!$OL$5,Data!$AQ$1, IF(D45=Data!$OL$6,Data!$AQ$1, IF(D45=Data!$OL$7,Data!$AR$1)))))</f>
        <v>0</v>
      </c>
    </row>
    <row r="46" spans="1:33" ht="30" customHeight="1">
      <c r="A46" s="53">
        <v>39</v>
      </c>
      <c r="B46" s="13"/>
      <c r="C46" s="17"/>
      <c r="D46" s="17"/>
      <c r="E46" s="13"/>
      <c r="F46" s="14"/>
      <c r="G46" s="14"/>
      <c r="H46" s="14"/>
      <c r="I46" s="14"/>
      <c r="J46" s="484"/>
      <c r="K46" s="485"/>
      <c r="L46" s="15"/>
      <c r="M46" s="15"/>
      <c r="N46" s="15"/>
      <c r="O46" s="514"/>
      <c r="P46" s="515"/>
      <c r="Q46" s="13"/>
      <c r="R46" s="13"/>
      <c r="S46" s="13"/>
      <c r="T46" s="13"/>
      <c r="U46" s="13"/>
      <c r="V46" s="186"/>
      <c r="W46" s="236"/>
      <c r="X46" s="237"/>
      <c r="AA46" s="33" t="str">
        <f t="shared" si="0"/>
        <v>OK</v>
      </c>
      <c r="AG46" s="33" t="b">
        <f>IF(D46=Data!$OL$3,Data!$AP$1, IF(D46=Data!$OL$4,Data!$AP$1, IF(D46=Data!$OL$5,Data!$AQ$1, IF(D46=Data!$OL$6,Data!$AQ$1, IF(D46=Data!$OL$7,Data!$AR$1)))))</f>
        <v>0</v>
      </c>
    </row>
    <row r="47" spans="1:33" ht="30" customHeight="1">
      <c r="A47" s="53">
        <v>40</v>
      </c>
      <c r="B47" s="19"/>
      <c r="C47" s="13"/>
      <c r="D47" s="23"/>
      <c r="E47" s="12"/>
      <c r="F47" s="14"/>
      <c r="G47" s="14"/>
      <c r="H47" s="14"/>
      <c r="I47" s="14"/>
      <c r="J47" s="484"/>
      <c r="K47" s="485"/>
      <c r="L47" s="15"/>
      <c r="M47" s="15"/>
      <c r="N47" s="15"/>
      <c r="O47" s="514"/>
      <c r="P47" s="515"/>
      <c r="Q47" s="13"/>
      <c r="R47" s="13"/>
      <c r="S47" s="13"/>
      <c r="T47" s="13"/>
      <c r="U47" s="13"/>
      <c r="V47" s="186"/>
      <c r="W47" s="236"/>
      <c r="X47" s="237"/>
      <c r="AA47" s="33" t="str">
        <f t="shared" si="0"/>
        <v>OK</v>
      </c>
      <c r="AG47" s="33" t="b">
        <f>IF(D47=Data!$OL$3,Data!$AP$1, IF(D47=Data!$OL$4,Data!$AP$1, IF(D47=Data!$OL$5,Data!$AQ$1, IF(D47=Data!$OL$6,Data!$AQ$1, IF(D47=Data!$OL$7,Data!$AR$1)))))</f>
        <v>0</v>
      </c>
    </row>
    <row r="48" spans="1:33" ht="30" customHeight="1">
      <c r="A48" s="53">
        <v>41</v>
      </c>
      <c r="B48" s="13"/>
      <c r="C48" s="49"/>
      <c r="D48" s="17"/>
      <c r="E48" s="13"/>
      <c r="F48" s="14"/>
      <c r="G48" s="14"/>
      <c r="H48" s="14"/>
      <c r="I48" s="14"/>
      <c r="J48" s="484"/>
      <c r="K48" s="485"/>
      <c r="L48" s="15"/>
      <c r="M48" s="15"/>
      <c r="N48" s="15"/>
      <c r="O48" s="514"/>
      <c r="P48" s="515"/>
      <c r="Q48" s="13"/>
      <c r="R48" s="13"/>
      <c r="S48" s="13"/>
      <c r="T48" s="13"/>
      <c r="U48" s="13"/>
      <c r="V48" s="186"/>
      <c r="W48" s="236"/>
      <c r="X48" s="237"/>
      <c r="AA48" s="33" t="str">
        <f t="shared" si="0"/>
        <v>OK</v>
      </c>
      <c r="AG48" s="33" t="b">
        <f>IF(D48=Data!$OL$3,Data!$AP$1, IF(D48=Data!$OL$4,Data!$AP$1, IF(D48=Data!$OL$5,Data!$AQ$1, IF(D48=Data!$OL$6,Data!$AQ$1, IF(D48=Data!$OL$7,Data!$AR$1)))))</f>
        <v>0</v>
      </c>
    </row>
    <row r="49" spans="1:33" ht="30" customHeight="1">
      <c r="A49" s="53">
        <v>42</v>
      </c>
      <c r="B49" s="13"/>
      <c r="C49" s="49"/>
      <c r="D49" s="17"/>
      <c r="E49" s="13"/>
      <c r="F49" s="14"/>
      <c r="G49" s="14"/>
      <c r="H49" s="14"/>
      <c r="I49" s="14"/>
      <c r="J49" s="484"/>
      <c r="K49" s="485"/>
      <c r="L49" s="15"/>
      <c r="M49" s="15"/>
      <c r="N49" s="15"/>
      <c r="O49" s="514"/>
      <c r="P49" s="515"/>
      <c r="Q49" s="13"/>
      <c r="R49" s="13"/>
      <c r="S49" s="13"/>
      <c r="T49" s="13"/>
      <c r="U49" s="13"/>
      <c r="V49" s="186"/>
      <c r="W49" s="236"/>
      <c r="X49" s="237"/>
      <c r="AA49" s="33" t="str">
        <f t="shared" si="0"/>
        <v>OK</v>
      </c>
      <c r="AG49" s="33" t="b">
        <f>IF(D49=Data!$OL$3,Data!$AP$1, IF(D49=Data!$OL$4,Data!$AP$1, IF(D49=Data!$OL$5,Data!$AQ$1, IF(D49=Data!$OL$6,Data!$AQ$1, IF(D49=Data!$OL$7,Data!$AR$1)))))</f>
        <v>0</v>
      </c>
    </row>
    <row r="50" spans="1:33" ht="30" customHeight="1">
      <c r="A50" s="53">
        <v>43</v>
      </c>
      <c r="B50" s="13"/>
      <c r="C50" s="49"/>
      <c r="D50" s="17"/>
      <c r="E50" s="13"/>
      <c r="F50" s="14"/>
      <c r="G50" s="14"/>
      <c r="H50" s="14"/>
      <c r="I50" s="14"/>
      <c r="J50" s="484"/>
      <c r="K50" s="485"/>
      <c r="L50" s="15"/>
      <c r="M50" s="15"/>
      <c r="N50" s="15"/>
      <c r="O50" s="514"/>
      <c r="P50" s="515"/>
      <c r="Q50" s="13"/>
      <c r="R50" s="13"/>
      <c r="S50" s="13"/>
      <c r="T50" s="13"/>
      <c r="U50" s="13"/>
      <c r="V50" s="186"/>
      <c r="W50" s="236"/>
      <c r="X50" s="237"/>
      <c r="AA50" s="33" t="str">
        <f t="shared" si="0"/>
        <v>OK</v>
      </c>
      <c r="AG50" s="33" t="b">
        <f>IF(D50=Data!$OL$3,Data!$AP$1, IF(D50=Data!$OL$4,Data!$AP$1, IF(D50=Data!$OL$5,Data!$AQ$1, IF(D50=Data!$OL$6,Data!$AQ$1, IF(D50=Data!$OL$7,Data!$AR$1)))))</f>
        <v>0</v>
      </c>
    </row>
    <row r="51" spans="1:33" ht="30" customHeight="1">
      <c r="A51" s="53">
        <v>44</v>
      </c>
      <c r="B51" s="13"/>
      <c r="C51" s="49"/>
      <c r="D51" s="17"/>
      <c r="E51" s="12"/>
      <c r="F51" s="14"/>
      <c r="G51" s="14"/>
      <c r="H51" s="14"/>
      <c r="I51" s="14"/>
      <c r="J51" s="484"/>
      <c r="K51" s="485"/>
      <c r="L51" s="15"/>
      <c r="M51" s="15"/>
      <c r="N51" s="15"/>
      <c r="O51" s="514"/>
      <c r="P51" s="515"/>
      <c r="Q51" s="13"/>
      <c r="R51" s="13"/>
      <c r="S51" s="13"/>
      <c r="T51" s="13"/>
      <c r="U51" s="13"/>
      <c r="V51" s="186"/>
      <c r="W51" s="236"/>
      <c r="X51" s="237"/>
      <c r="AA51" s="33" t="str">
        <f t="shared" si="0"/>
        <v>OK</v>
      </c>
      <c r="AG51" s="33" t="b">
        <f>IF(D51=Data!$OL$3,Data!$AP$1, IF(D51=Data!$OL$4,Data!$AP$1, IF(D51=Data!$OL$5,Data!$AQ$1, IF(D51=Data!$OL$6,Data!$AQ$1, IF(D51=Data!$OL$7,Data!$AR$1)))))</f>
        <v>0</v>
      </c>
    </row>
    <row r="52" spans="1:33" ht="30" customHeight="1">
      <c r="A52" s="53">
        <v>45</v>
      </c>
      <c r="B52" s="13"/>
      <c r="C52" s="49"/>
      <c r="D52" s="17"/>
      <c r="E52" s="13"/>
      <c r="F52" s="14"/>
      <c r="G52" s="14"/>
      <c r="H52" s="14"/>
      <c r="I52" s="14"/>
      <c r="J52" s="484"/>
      <c r="K52" s="485"/>
      <c r="L52" s="15"/>
      <c r="M52" s="15"/>
      <c r="N52" s="15"/>
      <c r="O52" s="514"/>
      <c r="P52" s="515"/>
      <c r="Q52" s="13"/>
      <c r="R52" s="13"/>
      <c r="S52" s="13"/>
      <c r="T52" s="13"/>
      <c r="U52" s="13"/>
      <c r="V52" s="186"/>
      <c r="W52" s="236"/>
      <c r="X52" s="237"/>
      <c r="AA52" s="33" t="str">
        <f t="shared" si="0"/>
        <v>OK</v>
      </c>
      <c r="AG52" s="33" t="b">
        <f>IF(D52=Data!$OL$3,Data!$AP$1, IF(D52=Data!$OL$4,Data!$AP$1, IF(D52=Data!$OL$5,Data!$AQ$1, IF(D52=Data!$OL$6,Data!$AQ$1, IF(D52=Data!$OL$7,Data!$AR$1)))))</f>
        <v>0</v>
      </c>
    </row>
    <row r="53" spans="1:33" ht="30" customHeight="1">
      <c r="A53" s="53">
        <v>46</v>
      </c>
      <c r="B53" s="19"/>
      <c r="C53" s="49"/>
      <c r="D53" s="17"/>
      <c r="E53" s="12"/>
      <c r="F53" s="14"/>
      <c r="G53" s="14"/>
      <c r="H53" s="14"/>
      <c r="I53" s="14"/>
      <c r="J53" s="484"/>
      <c r="K53" s="485"/>
      <c r="L53" s="15"/>
      <c r="M53" s="15"/>
      <c r="N53" s="15"/>
      <c r="O53" s="514"/>
      <c r="P53" s="515"/>
      <c r="Q53" s="13"/>
      <c r="R53" s="13"/>
      <c r="S53" s="13"/>
      <c r="T53" s="13"/>
      <c r="U53" s="13"/>
      <c r="V53" s="186"/>
      <c r="W53" s="236"/>
      <c r="X53" s="237"/>
      <c r="AA53" s="33" t="str">
        <f t="shared" si="0"/>
        <v>OK</v>
      </c>
      <c r="AG53" s="33" t="b">
        <f>IF(D53=Data!$OL$3,Data!$AP$1, IF(D53=Data!$OL$4,Data!$AP$1, IF(D53=Data!$OL$5,Data!$AQ$1, IF(D53=Data!$OL$6,Data!$AQ$1, IF(D53=Data!$OL$7,Data!$AR$1)))))</f>
        <v>0</v>
      </c>
    </row>
    <row r="54" spans="1:33" ht="30" customHeight="1">
      <c r="A54" s="53">
        <v>47</v>
      </c>
      <c r="B54" s="13"/>
      <c r="C54" s="49"/>
      <c r="D54" s="17"/>
      <c r="E54" s="75"/>
      <c r="F54" s="14"/>
      <c r="G54" s="14"/>
      <c r="H54" s="14"/>
      <c r="I54" s="14"/>
      <c r="J54" s="484"/>
      <c r="K54" s="485"/>
      <c r="L54" s="15"/>
      <c r="M54" s="15"/>
      <c r="N54" s="15"/>
      <c r="O54" s="514"/>
      <c r="P54" s="515"/>
      <c r="Q54" s="13"/>
      <c r="R54" s="13"/>
      <c r="S54" s="13"/>
      <c r="T54" s="13"/>
      <c r="U54" s="13"/>
      <c r="V54" s="186"/>
      <c r="W54" s="236"/>
      <c r="X54" s="237"/>
      <c r="AA54" s="33" t="str">
        <f t="shared" si="0"/>
        <v>OK</v>
      </c>
      <c r="AG54" s="33" t="b">
        <f>IF(D54=Data!$OL$3,Data!$AP$1, IF(D54=Data!$OL$4,Data!$AP$1, IF(D54=Data!$OL$5,Data!$AQ$1, IF(D54=Data!$OL$6,Data!$AQ$1, IF(D54=Data!$OL$7,Data!$AR$1)))))</f>
        <v>0</v>
      </c>
    </row>
    <row r="55" spans="1:33" ht="30" customHeight="1">
      <c r="A55" s="53">
        <v>48</v>
      </c>
      <c r="B55" s="13"/>
      <c r="C55" s="49"/>
      <c r="D55" s="17"/>
      <c r="E55" s="75"/>
      <c r="F55" s="14"/>
      <c r="G55" s="14"/>
      <c r="H55" s="14"/>
      <c r="I55" s="14"/>
      <c r="J55" s="484"/>
      <c r="K55" s="485"/>
      <c r="L55" s="15"/>
      <c r="M55" s="15"/>
      <c r="N55" s="15"/>
      <c r="O55" s="514"/>
      <c r="P55" s="515"/>
      <c r="Q55" s="13"/>
      <c r="R55" s="13"/>
      <c r="S55" s="13"/>
      <c r="T55" s="13"/>
      <c r="U55" s="13"/>
      <c r="V55" s="186"/>
      <c r="W55" s="236"/>
      <c r="X55" s="237"/>
      <c r="AA55" s="33" t="str">
        <f t="shared" si="0"/>
        <v>OK</v>
      </c>
      <c r="AG55" s="33" t="b">
        <f>IF(D55=Data!$OL$3,Data!$AP$1, IF(D55=Data!$OL$4,Data!$AP$1, IF(D55=Data!$OL$5,Data!$AQ$1, IF(D55=Data!$OL$6,Data!$AQ$1, IF(D55=Data!$OL$7,Data!$AR$1)))))</f>
        <v>0</v>
      </c>
    </row>
    <row r="56" spans="1:33" ht="30" customHeight="1">
      <c r="A56" s="53">
        <v>49</v>
      </c>
      <c r="B56" s="13"/>
      <c r="C56" s="49"/>
      <c r="D56" s="17"/>
      <c r="E56" s="13"/>
      <c r="F56" s="14"/>
      <c r="G56" s="14"/>
      <c r="H56" s="14"/>
      <c r="I56" s="14"/>
      <c r="J56" s="484"/>
      <c r="K56" s="485"/>
      <c r="L56" s="15"/>
      <c r="M56" s="15"/>
      <c r="N56" s="15"/>
      <c r="O56" s="514"/>
      <c r="P56" s="515"/>
      <c r="Q56" s="13"/>
      <c r="R56" s="13"/>
      <c r="S56" s="13"/>
      <c r="T56" s="13"/>
      <c r="U56" s="13"/>
      <c r="V56" s="186"/>
      <c r="W56" s="236"/>
      <c r="X56" s="237"/>
      <c r="AA56" s="33" t="str">
        <f t="shared" si="0"/>
        <v>OK</v>
      </c>
      <c r="AG56" s="33" t="b">
        <f>IF(D56=Data!$OL$3,Data!$AP$1, IF(D56=Data!$OL$4,Data!$AP$1, IF(D56=Data!$OL$5,Data!$AQ$1, IF(D56=Data!$OL$6,Data!$AQ$1, IF(D56=Data!$OL$7,Data!$AR$1)))))</f>
        <v>0</v>
      </c>
    </row>
    <row r="57" spans="1:33" ht="30" customHeight="1" thickBot="1">
      <c r="A57" s="54">
        <v>50</v>
      </c>
      <c r="B57" s="21"/>
      <c r="C57" s="50"/>
      <c r="D57" s="99"/>
      <c r="E57" s="21"/>
      <c r="F57" s="22"/>
      <c r="G57" s="22"/>
      <c r="H57" s="22"/>
      <c r="I57" s="22"/>
      <c r="J57" s="498"/>
      <c r="K57" s="499"/>
      <c r="L57" s="44"/>
      <c r="M57" s="44"/>
      <c r="N57" s="44"/>
      <c r="O57" s="516"/>
      <c r="P57" s="517"/>
      <c r="Q57" s="21"/>
      <c r="R57" s="21"/>
      <c r="S57" s="21"/>
      <c r="T57" s="21"/>
      <c r="U57" s="21"/>
      <c r="V57" s="187"/>
      <c r="W57" s="236"/>
      <c r="X57" s="237"/>
      <c r="AA57" s="33" t="str">
        <f t="shared" si="0"/>
        <v>OK</v>
      </c>
      <c r="AG57" s="33" t="b">
        <f>IF(D57=Data!$OL$3,Data!$AP$1, IF(D57=Data!$OL$4,Data!$AP$1, IF(D57=Data!$OL$5,Data!$AQ$1, IF(D57=Data!$OL$6,Data!$AQ$1, IF(D57=Data!$OL$7,Data!$AR$1)))))</f>
        <v>0</v>
      </c>
    </row>
    <row r="58" spans="1:33" ht="15.75" thickTop="1"/>
  </sheetData>
  <mergeCells count="126">
    <mergeCell ref="J57:K57"/>
    <mergeCell ref="O57:P57"/>
    <mergeCell ref="J53:K53"/>
    <mergeCell ref="O53:P53"/>
    <mergeCell ref="J54:K54"/>
    <mergeCell ref="O54:P54"/>
    <mergeCell ref="J55:K55"/>
    <mergeCell ref="O55:P55"/>
    <mergeCell ref="J51:K51"/>
    <mergeCell ref="O51:P51"/>
    <mergeCell ref="J52:K52"/>
    <mergeCell ref="O52:P52"/>
    <mergeCell ref="J56:K56"/>
    <mergeCell ref="O56:P56"/>
    <mergeCell ref="J48:K48"/>
    <mergeCell ref="O48:P48"/>
    <mergeCell ref="J49:K49"/>
    <mergeCell ref="O49:P49"/>
    <mergeCell ref="J50:K50"/>
    <mergeCell ref="O50:P50"/>
    <mergeCell ref="J45:K45"/>
    <mergeCell ref="O45:P45"/>
    <mergeCell ref="J46:K46"/>
    <mergeCell ref="O46:P46"/>
    <mergeCell ref="J47:K47"/>
    <mergeCell ref="O47:P47"/>
    <mergeCell ref="J42:K42"/>
    <mergeCell ref="O42:P42"/>
    <mergeCell ref="J43:K43"/>
    <mergeCell ref="O43:P43"/>
    <mergeCell ref="J44:K44"/>
    <mergeCell ref="O44:P44"/>
    <mergeCell ref="J39:K39"/>
    <mergeCell ref="O39:P39"/>
    <mergeCell ref="J40:K40"/>
    <mergeCell ref="O40:P40"/>
    <mergeCell ref="J41:K41"/>
    <mergeCell ref="O41:P41"/>
    <mergeCell ref="J36:K36"/>
    <mergeCell ref="O36:P36"/>
    <mergeCell ref="J37:K37"/>
    <mergeCell ref="O37:P37"/>
    <mergeCell ref="J38:K38"/>
    <mergeCell ref="O38:P38"/>
    <mergeCell ref="J33:K33"/>
    <mergeCell ref="O33:P33"/>
    <mergeCell ref="J34:K34"/>
    <mergeCell ref="O34:P34"/>
    <mergeCell ref="J35:K35"/>
    <mergeCell ref="O35:P35"/>
    <mergeCell ref="J30:K30"/>
    <mergeCell ref="O30:P30"/>
    <mergeCell ref="J31:K31"/>
    <mergeCell ref="O31:P31"/>
    <mergeCell ref="J32:K32"/>
    <mergeCell ref="O32:P32"/>
    <mergeCell ref="J27:K27"/>
    <mergeCell ref="O27:P27"/>
    <mergeCell ref="J28:K28"/>
    <mergeCell ref="O28:P28"/>
    <mergeCell ref="J29:K29"/>
    <mergeCell ref="O29:P29"/>
    <mergeCell ref="J24:K24"/>
    <mergeCell ref="O24:P24"/>
    <mergeCell ref="J25:K25"/>
    <mergeCell ref="O25:P25"/>
    <mergeCell ref="J26:K26"/>
    <mergeCell ref="O26:P26"/>
    <mergeCell ref="J21:K21"/>
    <mergeCell ref="O21:P21"/>
    <mergeCell ref="J22:K22"/>
    <mergeCell ref="O22:P22"/>
    <mergeCell ref="J23:K23"/>
    <mergeCell ref="O23:P23"/>
    <mergeCell ref="J18:K18"/>
    <mergeCell ref="O18:P18"/>
    <mergeCell ref="J19:K19"/>
    <mergeCell ref="O19:P19"/>
    <mergeCell ref="J20:K20"/>
    <mergeCell ref="O20:P20"/>
    <mergeCell ref="J15:K15"/>
    <mergeCell ref="O15:P15"/>
    <mergeCell ref="J16:K16"/>
    <mergeCell ref="O16:P16"/>
    <mergeCell ref="J17:K17"/>
    <mergeCell ref="O17:P17"/>
    <mergeCell ref="J12:K12"/>
    <mergeCell ref="O12:P12"/>
    <mergeCell ref="J13:K13"/>
    <mergeCell ref="O13:P13"/>
    <mergeCell ref="J14:K14"/>
    <mergeCell ref="O14:P14"/>
    <mergeCell ref="J9:K9"/>
    <mergeCell ref="O9:P9"/>
    <mergeCell ref="J10:K10"/>
    <mergeCell ref="O10:P10"/>
    <mergeCell ref="J11:K11"/>
    <mergeCell ref="O11:P11"/>
    <mergeCell ref="J7:K7"/>
    <mergeCell ref="O7:P7"/>
    <mergeCell ref="J8:K8"/>
    <mergeCell ref="O8:P8"/>
    <mergeCell ref="F3:I3"/>
    <mergeCell ref="L3:M3"/>
    <mergeCell ref="N3:U3"/>
    <mergeCell ref="L4:M4"/>
    <mergeCell ref="L6:M6"/>
    <mergeCell ref="N6:U6"/>
    <mergeCell ref="W1:W2"/>
    <mergeCell ref="W4:W5"/>
    <mergeCell ref="X1:X2"/>
    <mergeCell ref="X4:X5"/>
    <mergeCell ref="A1:I1"/>
    <mergeCell ref="L1:M1"/>
    <mergeCell ref="N1:U1"/>
    <mergeCell ref="F2:I2"/>
    <mergeCell ref="L2:M2"/>
    <mergeCell ref="N2:U2"/>
    <mergeCell ref="D5:I5"/>
    <mergeCell ref="L5:M5"/>
    <mergeCell ref="N5:U5"/>
    <mergeCell ref="A4:C4"/>
    <mergeCell ref="D4:E4"/>
    <mergeCell ref="F4:G4"/>
    <mergeCell ref="H4:I4"/>
    <mergeCell ref="N4:U4"/>
  </mergeCells>
  <conditionalFormatting sqref="Q8:Q57">
    <cfRule type="containsText" dxfId="137" priority="9" stopIfTrue="1" operator="containsText" text="Yes">
      <formula>NOT(ISERROR(SEARCH("Yes",Q8)))</formula>
    </cfRule>
  </conditionalFormatting>
  <conditionalFormatting sqref="C8:C47">
    <cfRule type="cellIs" dxfId="136" priority="8" stopIfTrue="1" operator="greaterThan">
      <formula>1</formula>
    </cfRule>
  </conditionalFormatting>
  <conditionalFormatting sqref="M8">
    <cfRule type="expression" dxfId="135" priority="7">
      <formula>M8&lt;&gt;L8</formula>
    </cfRule>
  </conditionalFormatting>
  <conditionalFormatting sqref="M8:M57">
    <cfRule type="expression" dxfId="134" priority="6">
      <formula>M8&lt;&gt;L8</formula>
    </cfRule>
  </conditionalFormatting>
  <conditionalFormatting sqref="M8:M57">
    <cfRule type="expression" dxfId="133" priority="5">
      <formula>M8&lt;&gt;L8</formula>
    </cfRule>
  </conditionalFormatting>
  <conditionalFormatting sqref="N8:N57">
    <cfRule type="expression" dxfId="132" priority="4">
      <formula>AA8="Enter"</formula>
    </cfRule>
  </conditionalFormatting>
  <conditionalFormatting sqref="D8:D57">
    <cfRule type="containsText" dxfId="131" priority="1" operator="containsText" text="63mm PS Privacy Blind">
      <formula>NOT(ISERROR(SEARCH("63mm PS Privacy Blind",D8)))</formula>
    </cfRule>
    <cfRule type="containsText" dxfId="130" priority="3" operator="containsText" text="50mm PS Privacy Blind">
      <formula>NOT(ISERROR(SEARCH("50mm PS Privacy Blind",D8)))</formula>
    </cfRule>
  </conditionalFormatting>
  <conditionalFormatting sqref="N6:U6">
    <cfRule type="notContainsBlanks" dxfId="129" priority="2">
      <formula>LEN(TRIM(N6))&gt;0</formula>
    </cfRule>
  </conditionalFormatting>
  <dataValidations count="15">
    <dataValidation allowBlank="1" showInputMessage="1" errorTitle="Invalid Enrty" error="Please select from List!" sqref="V8:V57" xr:uid="{00000000-0002-0000-0300-000000000000}"/>
    <dataValidation type="list" allowBlank="1" showInputMessage="1" showErrorMessage="1" sqref="I8:I57" xr:uid="{00000000-0002-0000-0300-000001000000}">
      <formula1>"Face Fit, Recess Fit"</formula1>
    </dataValidation>
    <dataValidation type="list" errorStyle="warning" allowBlank="1" showInputMessage="1" showErrorMessage="1" errorTitle="Invalid Entry" error="This is not a standard colour._x000a_Please select from List!" sqref="J8:K57" xr:uid="{00000000-0002-0000-0300-000002000000}">
      <formula1>"NAM, ACT"</formula1>
    </dataValidation>
    <dataValidation type="list" allowBlank="1" showInputMessage="1" showErrorMessage="1" sqref="L8:M57" xr:uid="{00000000-0002-0000-0300-000003000000}">
      <formula1>"Left, Right"</formula1>
    </dataValidation>
    <dataValidation type="list" allowBlank="1" showInputMessage="1" showErrorMessage="1" errorTitle="Invalid Entry" error="Please select from List!" sqref="O8:P57" xr:uid="{00000000-0002-0000-0300-000004000000}">
      <formula1>"Standard, Common"</formula1>
    </dataValidation>
    <dataValidation allowBlank="1" showInputMessage="1" showErrorMessage="1" errorTitle="Invalid Entry" error="Please select from List!" sqref="R8:R57 T8:T57" xr:uid="{00000000-0002-0000-0300-000005000000}"/>
    <dataValidation type="list" allowBlank="1" showInputMessage="1" showErrorMessage="1" errorTitle="Invalid Entry" error="Invalid Entry" sqref="D8:D57" xr:uid="{00000000-0002-0000-0300-000006000000}">
      <formula1>VenetianProduct</formula1>
    </dataValidation>
    <dataValidation type="list" allowBlank="1" showInputMessage="1" showErrorMessage="1" errorTitle="Invalid Entry" error="Invalid Entry" sqref="E8:E57" xr:uid="{00000000-0002-0000-0300-000007000000}">
      <formula1>INDIRECT(AG8)</formula1>
    </dataValidation>
    <dataValidation type="list" allowBlank="1" showInputMessage="1" showErrorMessage="1" errorTitle="Invalid Entry" error="Invalid Entry" sqref="Q8:Q57" xr:uid="{00000000-0002-0000-0300-000008000000}">
      <formula1>"No, Yes"</formula1>
    </dataValidation>
    <dataValidation type="whole" errorStyle="warning" allowBlank="1" showInputMessage="1" showErrorMessage="1" errorTitle="Be Aware" error="Minimum width is 222mm._x000a_Maximum width is 3000mm. _x000a__x000a_Larger openings may require multiple Blinds._x000a__x000a_Blinds over approximately 4 SQM are able to be made but are not covered under warranty." sqref="F8:F57" xr:uid="{00000000-0002-0000-0300-000009000000}">
      <formula1>222</formula1>
      <formula2>3020</formula2>
    </dataValidation>
    <dataValidation type="whole" errorStyle="warning" allowBlank="1" showInputMessage="1" showErrorMessage="1" errorTitle="Be Aware" error="Minimum height/drop is 200mm._x000a_Maximum height/drop is 3000mm._x000a_" sqref="G8:G57" xr:uid="{00000000-0002-0000-0300-00000A000000}">
      <formula1>200</formula1>
      <formula2>3000</formula2>
    </dataValidation>
    <dataValidation type="list" allowBlank="1" showInputMessage="1" showErrorMessage="1" errorTitle="Invalid Entry" error="Invalid Entry" sqref="H8:H57" xr:uid="{00000000-0002-0000-0300-00000B000000}">
      <formula1>WindowType</formula1>
    </dataValidation>
    <dataValidation type="whole" errorStyle="warning" allowBlank="1" showInputMessage="1" showErrorMessage="1" errorTitle="Invalid Entry" error="Maximum Cut Out Width is 130mm." sqref="S8:S57 U8:U57" xr:uid="{00000000-0002-0000-0300-00000C000000}">
      <formula1>0</formula1>
      <formula2>130</formula2>
    </dataValidation>
    <dataValidation type="list" allowBlank="1" showInputMessage="1" showErrorMessage="1" errorTitle="Invalid Entry" error="Invalid Entry" sqref="N8:N57" xr:uid="{00000000-0002-0000-0300-00000D000000}">
      <formula1>HoldDown</formula1>
    </dataValidation>
    <dataValidation allowBlank="1" sqref="W1:X57" xr:uid="{00000000-0002-0000-0300-00000E000000}"/>
  </dataValidations>
  <printOptions horizontalCentered="1"/>
  <pageMargins left="0.23622047244094491" right="0.23622047244094491" top="0.23622047244094491" bottom="0.23622047244094491" header="0.19685039370078741" footer="0.19685039370078741"/>
  <pageSetup paperSize="9" scale="45" fitToHeight="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pageSetUpPr fitToPage="1"/>
  </sheetPr>
  <dimension ref="A1:BZ58"/>
  <sheetViews>
    <sheetView zoomScale="85" zoomScaleNormal="85" zoomScaleSheetLayoutView="85" workbookViewId="0">
      <selection activeCell="B8" sqref="B8"/>
    </sheetView>
  </sheetViews>
  <sheetFormatPr defaultRowHeight="15"/>
  <cols>
    <col min="1" max="1" width="7.140625" style="55" customWidth="1"/>
    <col min="2" max="2" width="13.7109375" style="55" customWidth="1"/>
    <col min="3" max="3" width="8.42578125" style="55" customWidth="1"/>
    <col min="4" max="4" width="21.5703125" style="55" customWidth="1"/>
    <col min="5" max="5" width="19.28515625" style="55" customWidth="1"/>
    <col min="6" max="6" width="13" style="55" customWidth="1"/>
    <col min="7" max="7" width="12.42578125" style="55" customWidth="1"/>
    <col min="8" max="8" width="15.85546875" style="55" customWidth="1"/>
    <col min="9" max="9" width="11.42578125" style="55" customWidth="1"/>
    <col min="10" max="10" width="9.140625" style="55" customWidth="1"/>
    <col min="11" max="11" width="4.28515625" style="55" customWidth="1"/>
    <col min="12" max="13" width="13.7109375" style="55" customWidth="1"/>
    <col min="14" max="14" width="14" style="55" customWidth="1"/>
    <col min="15" max="16" width="16.5703125" style="55" customWidth="1"/>
    <col min="17" max="17" width="15.28515625" style="55" customWidth="1"/>
    <col min="18" max="18" width="15.140625" style="55" customWidth="1"/>
    <col min="19" max="19" width="12.28515625" style="55" customWidth="1"/>
    <col min="20" max="20" width="10.85546875" style="55" customWidth="1"/>
    <col min="21" max="21" width="9.28515625" style="55" customWidth="1"/>
    <col min="22" max="23" width="14.7109375" style="55" customWidth="1"/>
    <col min="24" max="24" width="19.7109375" style="55" customWidth="1"/>
    <col min="25" max="25" width="9.85546875" style="55" customWidth="1"/>
    <col min="26" max="26" width="40.42578125" style="55" customWidth="1"/>
    <col min="27" max="27" width="15.42578125" style="55" customWidth="1"/>
    <col min="28" max="28" width="44.5703125" style="66" customWidth="1"/>
    <col min="29" max="29" width="22.5703125" style="33" hidden="1" customWidth="1"/>
    <col min="30" max="31" width="9.140625" style="33" hidden="1" customWidth="1"/>
    <col min="32" max="32" width="14.7109375" style="92" hidden="1" customWidth="1"/>
    <col min="33" max="33" width="37.42578125" style="92" hidden="1" customWidth="1"/>
    <col min="34" max="35" width="23.28515625" style="92" hidden="1" customWidth="1"/>
    <col min="36" max="36" width="25.140625" style="33" hidden="1" customWidth="1"/>
    <col min="37" max="38" width="9.140625" style="33" hidden="1" customWidth="1"/>
    <col min="39" max="39" width="21.85546875" style="33" hidden="1" customWidth="1"/>
    <col min="40" max="40" width="9.140625" style="33" hidden="1" customWidth="1"/>
    <col min="41" max="41" width="24" style="33" hidden="1" customWidth="1"/>
    <col min="42" max="42" width="9.140625" style="33" hidden="1" customWidth="1"/>
    <col min="43" max="43" width="42.7109375" style="33" hidden="1" customWidth="1"/>
    <col min="44" max="52" width="9.140625" style="33" hidden="1" customWidth="1"/>
    <col min="53" max="53" width="14.7109375" style="33" hidden="1" customWidth="1"/>
    <col min="54" max="55" width="15.140625" style="92" hidden="1" customWidth="1"/>
    <col min="56" max="56" width="21.42578125" style="92" hidden="1" customWidth="1"/>
    <col min="57" max="57" width="9.140625" style="33" hidden="1" customWidth="1"/>
    <col min="58" max="58" width="13.85546875" style="33" hidden="1" customWidth="1"/>
    <col min="59" max="59" width="45" style="92" hidden="1" customWidth="1"/>
    <col min="60" max="60" width="53" style="33" hidden="1" customWidth="1"/>
    <col min="61" max="61" width="33.5703125" style="33" hidden="1" customWidth="1"/>
    <col min="62" max="62" width="28.85546875" style="33" hidden="1" customWidth="1"/>
    <col min="63" max="63" width="35.140625" style="33" hidden="1" customWidth="1"/>
    <col min="64" max="64" width="24.42578125" style="33" hidden="1" customWidth="1"/>
    <col min="65" max="78" width="9.140625" style="33" hidden="1" customWidth="1"/>
    <col min="79" max="16384" width="9.140625" style="33"/>
  </cols>
  <sheetData>
    <row r="1" spans="1:64" ht="26.25">
      <c r="A1" s="120"/>
      <c r="B1" s="121"/>
      <c r="C1" s="121"/>
      <c r="D1" s="121"/>
      <c r="E1" s="177"/>
      <c r="F1" s="121"/>
      <c r="G1" s="121"/>
      <c r="H1" s="121"/>
      <c r="I1" s="121"/>
      <c r="J1" s="127"/>
      <c r="K1" s="59"/>
      <c r="L1" s="457" t="s">
        <v>0</v>
      </c>
      <c r="M1" s="457"/>
      <c r="N1" s="466">
        <f>Summary!D3</f>
        <v>0</v>
      </c>
      <c r="O1" s="467"/>
      <c r="P1" s="467"/>
      <c r="Q1" s="467"/>
      <c r="R1" s="467"/>
      <c r="S1" s="467"/>
      <c r="T1" s="467"/>
      <c r="U1" s="467"/>
      <c r="V1" s="467"/>
      <c r="W1" s="467"/>
      <c r="X1" s="467"/>
      <c r="Y1" s="467"/>
      <c r="Z1" s="274"/>
      <c r="AA1" s="275"/>
      <c r="AB1" s="272"/>
    </row>
    <row r="2" spans="1:64" ht="19.5">
      <c r="A2" s="28"/>
      <c r="B2" s="29"/>
      <c r="C2" s="29"/>
      <c r="F2" s="527" t="s">
        <v>173</v>
      </c>
      <c r="G2" s="527"/>
      <c r="H2" s="527"/>
      <c r="I2" s="527"/>
      <c r="J2" s="528"/>
      <c r="K2" s="61"/>
      <c r="L2" s="457" t="s">
        <v>141</v>
      </c>
      <c r="M2" s="457"/>
      <c r="N2" s="470">
        <f>Summary!D6</f>
        <v>0</v>
      </c>
      <c r="O2" s="471"/>
      <c r="P2" s="471"/>
      <c r="Q2" s="471"/>
      <c r="R2" s="471"/>
      <c r="S2" s="471"/>
      <c r="T2" s="471"/>
      <c r="U2" s="471"/>
      <c r="V2" s="471"/>
      <c r="W2" s="471"/>
      <c r="X2" s="471"/>
      <c r="Y2" s="471"/>
      <c r="Z2" s="276"/>
      <c r="AA2" s="275"/>
      <c r="AB2" s="272"/>
    </row>
    <row r="3" spans="1:64" ht="17.25" customHeight="1">
      <c r="A3" s="7"/>
      <c r="B3" s="8"/>
      <c r="C3" s="8"/>
      <c r="D3" s="122"/>
      <c r="F3" s="122"/>
      <c r="G3" s="122"/>
      <c r="H3" s="122"/>
      <c r="I3" s="122"/>
      <c r="J3" s="83"/>
      <c r="K3" s="59"/>
      <c r="L3" s="457" t="s">
        <v>142</v>
      </c>
      <c r="M3" s="457"/>
      <c r="N3" s="458">
        <f>Summary!D4</f>
        <v>0</v>
      </c>
      <c r="O3" s="459"/>
      <c r="P3" s="459"/>
      <c r="Q3" s="459"/>
      <c r="R3" s="459"/>
      <c r="S3" s="459"/>
      <c r="T3" s="459"/>
      <c r="U3" s="459"/>
      <c r="V3" s="459"/>
      <c r="W3" s="459"/>
      <c r="X3" s="459"/>
      <c r="Y3" s="460"/>
      <c r="Z3" s="276"/>
      <c r="AA3" s="63"/>
      <c r="AB3" s="64"/>
    </row>
    <row r="4" spans="1:64" ht="17.25" customHeight="1">
      <c r="A4" s="472" t="s">
        <v>458</v>
      </c>
      <c r="B4" s="472"/>
      <c r="C4" s="472"/>
      <c r="D4" s="529"/>
      <c r="E4" s="529"/>
      <c r="F4" s="473" t="s">
        <v>457</v>
      </c>
      <c r="G4" s="474"/>
      <c r="H4" s="475"/>
      <c r="I4" s="530"/>
      <c r="J4" s="476"/>
      <c r="K4" s="61"/>
      <c r="L4" s="457" t="s">
        <v>973</v>
      </c>
      <c r="M4" s="457"/>
      <c r="N4" s="477">
        <f>Summary!D7</f>
        <v>0</v>
      </c>
      <c r="O4" s="478"/>
      <c r="P4" s="478"/>
      <c r="Q4" s="478"/>
      <c r="R4" s="478"/>
      <c r="S4" s="478"/>
      <c r="T4" s="478"/>
      <c r="U4" s="478"/>
      <c r="V4" s="478"/>
      <c r="W4" s="478"/>
      <c r="X4" s="478"/>
      <c r="Y4" s="479"/>
      <c r="Z4" s="276"/>
      <c r="AA4" s="275"/>
      <c r="AB4" s="273"/>
    </row>
    <row r="5" spans="1:64" ht="17.25" customHeight="1">
      <c r="A5" s="101" t="s">
        <v>421</v>
      </c>
      <c r="B5" s="102"/>
      <c r="C5" s="102"/>
      <c r="D5" s="43" t="s">
        <v>211</v>
      </c>
      <c r="E5" s="124"/>
      <c r="F5" s="43"/>
      <c r="G5" s="123"/>
      <c r="H5" s="123"/>
      <c r="I5" s="123"/>
      <c r="J5" s="111"/>
      <c r="K5" s="61"/>
      <c r="L5" s="457" t="s">
        <v>143</v>
      </c>
      <c r="M5" s="457"/>
      <c r="N5" s="490">
        <f>Summary!D8</f>
        <v>0</v>
      </c>
      <c r="O5" s="491"/>
      <c r="P5" s="491"/>
      <c r="Q5" s="491"/>
      <c r="R5" s="491"/>
      <c r="S5" s="491"/>
      <c r="T5" s="491"/>
      <c r="U5" s="491"/>
      <c r="V5" s="491"/>
      <c r="W5" s="491"/>
      <c r="X5" s="491"/>
      <c r="Y5" s="491"/>
      <c r="Z5" s="277"/>
      <c r="AA5" s="275"/>
      <c r="AB5" s="273"/>
    </row>
    <row r="6" spans="1:64" ht="15.75" thickBot="1">
      <c r="A6" s="524" t="s">
        <v>723</v>
      </c>
      <c r="B6" s="525"/>
      <c r="C6" s="525"/>
      <c r="D6" s="525"/>
      <c r="E6" s="525"/>
      <c r="F6" s="525"/>
      <c r="G6" s="525"/>
      <c r="H6" s="525"/>
      <c r="I6" s="525"/>
      <c r="J6" s="526"/>
      <c r="L6" s="496" t="s">
        <v>654</v>
      </c>
      <c r="M6" s="496"/>
      <c r="N6" s="511" t="str">
        <f>AG18</f>
        <v/>
      </c>
      <c r="O6" s="522"/>
      <c r="P6" s="522"/>
      <c r="Q6" s="522"/>
      <c r="R6" s="522"/>
      <c r="S6" s="522"/>
      <c r="T6" s="522"/>
      <c r="U6" s="522"/>
      <c r="V6" s="522"/>
      <c r="W6" s="522"/>
      <c r="X6" s="522"/>
      <c r="Y6" s="523"/>
    </row>
    <row r="7" spans="1:64" ht="47.25" customHeight="1" thickTop="1" thickBot="1">
      <c r="A7" s="67" t="s">
        <v>144</v>
      </c>
      <c r="B7" s="68" t="s">
        <v>145</v>
      </c>
      <c r="C7" s="69" t="s">
        <v>162</v>
      </c>
      <c r="D7" s="69" t="s">
        <v>180</v>
      </c>
      <c r="E7" s="69" t="s">
        <v>204</v>
      </c>
      <c r="F7" s="68" t="s">
        <v>146</v>
      </c>
      <c r="G7" s="69" t="s">
        <v>147</v>
      </c>
      <c r="H7" s="70" t="s">
        <v>14</v>
      </c>
      <c r="I7" s="70" t="s">
        <v>163</v>
      </c>
      <c r="J7" s="492" t="s">
        <v>13</v>
      </c>
      <c r="K7" s="493"/>
      <c r="L7" s="68" t="s">
        <v>181</v>
      </c>
      <c r="M7" s="68" t="s">
        <v>164</v>
      </c>
      <c r="N7" s="68" t="s">
        <v>210</v>
      </c>
      <c r="O7" s="505" t="s">
        <v>1541</v>
      </c>
      <c r="P7" s="506"/>
      <c r="Q7" s="69" t="s">
        <v>165</v>
      </c>
      <c r="R7" s="68" t="s">
        <v>166</v>
      </c>
      <c r="S7" s="68" t="s">
        <v>188</v>
      </c>
      <c r="T7" s="68" t="s">
        <v>189</v>
      </c>
      <c r="U7" s="68" t="s">
        <v>185</v>
      </c>
      <c r="V7" s="68" t="s">
        <v>205</v>
      </c>
      <c r="W7" s="68" t="s">
        <v>167</v>
      </c>
      <c r="X7" s="68" t="s">
        <v>837</v>
      </c>
      <c r="Y7" s="285" t="s">
        <v>223</v>
      </c>
      <c r="Z7" s="78" t="s">
        <v>203</v>
      </c>
      <c r="AA7" s="238"/>
      <c r="AB7" s="238"/>
      <c r="AC7" s="33" t="s">
        <v>1071</v>
      </c>
      <c r="AD7" s="33" t="s">
        <v>1169</v>
      </c>
      <c r="AF7" s="92" t="s">
        <v>1170</v>
      </c>
      <c r="AI7" s="92" t="s">
        <v>837</v>
      </c>
      <c r="AJ7" s="33" t="s">
        <v>1128</v>
      </c>
      <c r="AM7" s="33" t="s">
        <v>1150</v>
      </c>
      <c r="AO7" s="33" t="s">
        <v>185</v>
      </c>
      <c r="AQ7" s="33" t="s">
        <v>167</v>
      </c>
      <c r="BA7" s="68" t="s">
        <v>222</v>
      </c>
      <c r="BB7" s="92" t="s">
        <v>860</v>
      </c>
      <c r="BC7" s="92" t="s">
        <v>861</v>
      </c>
      <c r="BD7" s="92" t="s">
        <v>862</v>
      </c>
      <c r="BG7" s="92" t="s">
        <v>1439</v>
      </c>
      <c r="BH7" s="33" t="s">
        <v>166</v>
      </c>
      <c r="BI7" s="33" t="s">
        <v>1443</v>
      </c>
      <c r="BJ7" s="33" t="s">
        <v>1450</v>
      </c>
      <c r="BK7" s="33" t="s">
        <v>1451</v>
      </c>
      <c r="BL7" s="33" t="s">
        <v>1452</v>
      </c>
    </row>
    <row r="8" spans="1:64" ht="30" customHeight="1" thickTop="1" thickBot="1">
      <c r="A8" s="51">
        <v>1</v>
      </c>
      <c r="B8" s="9"/>
      <c r="C8" s="23"/>
      <c r="D8" s="25"/>
      <c r="E8" s="11"/>
      <c r="F8" s="10"/>
      <c r="G8" s="10"/>
      <c r="H8" s="24"/>
      <c r="I8" s="24"/>
      <c r="J8" s="480"/>
      <c r="K8" s="481"/>
      <c r="L8" s="11"/>
      <c r="M8" s="288"/>
      <c r="N8" s="11"/>
      <c r="O8" s="507"/>
      <c r="P8" s="508"/>
      <c r="Q8" s="25"/>
      <c r="R8" s="25"/>
      <c r="S8" s="40"/>
      <c r="T8" s="25"/>
      <c r="U8" s="25"/>
      <c r="V8" s="25"/>
      <c r="W8" s="25"/>
      <c r="X8" s="11"/>
      <c r="Y8" s="26"/>
      <c r="Z8" s="185"/>
      <c r="AA8" s="236"/>
      <c r="AB8" s="237"/>
      <c r="AC8" s="33" t="e">
        <f>IF(AND(AD8="Yes",U8=""),"Enter","OK")</f>
        <v>#N/A</v>
      </c>
      <c r="AD8" s="33" t="e">
        <f>VLOOKUP(S8,Data!$QH$2:$QI$4,2,FALSE)</f>
        <v>#N/A</v>
      </c>
      <c r="AF8" s="92" t="e">
        <f>IF(AND(AD8="Yes",T8=""),"Enter","OK")</f>
        <v>#N/A</v>
      </c>
      <c r="AG8" s="92" t="str">
        <f>IF(COUNTIF($H$8:$H$57,Data!KF3),Data!KG3,"")</f>
        <v/>
      </c>
      <c r="AH8" s="92" t="str">
        <f>IF(SUM(--ISNUMBER(SEARCH({"Bay","Corner"}, M8:M17))),"Yes","No")</f>
        <v>No</v>
      </c>
      <c r="AI8" s="92" t="b">
        <f>IF(W8=Data!$KK$2,Data!$KM$1,IF(W8=Data!$KK$3,Data!$KN$1,IF(W8=Data!$KK$4,Data!$KP$1,IF(W8=Data!$KK$5,Data!$KQ$1))))</f>
        <v>0</v>
      </c>
      <c r="AJ8" s="33" t="str">
        <f>IF(D8=Data!$W$10,Data!$QJ$1,Data!$QK$1)</f>
        <v>RollerControl</v>
      </c>
      <c r="AM8" s="33" t="b">
        <f>IF(S8=Data!$PX$2,Data!$PZ$1,IF(S8=Data!$PX$3,Data!$PY$1,IF(S8=Data!$PX$4,Data!$QA$1)))</f>
        <v>0</v>
      </c>
      <c r="AO8" s="33" t="b">
        <f>IF(S8=Data!$PX$3,Data!$QB$1,IF(S8=Data!$PX$2,Data!$QC$1,IF(S8=Data!$PX$4,Data!$QD$1)))</f>
        <v>0</v>
      </c>
      <c r="AQ8" s="33" t="str">
        <f>IF(D8=Data!$W$3,Data!$QF$1,IF(D8=Data!$W$4,Data!$QF$1,IF(D8=Data!$W$5,Data!$QF$1,IF(D8=Data!$W$6,Data!$QF$1,IF(D8=Data!$W$7,Data!$QF$1,IF(D8=Data!$W$8,Data!$QF$1,IF(D8=Data!$W$9,Data!$QF$1,IF(D8=Data!$W$10,Data!$QE$1,IF(D8=Data!$W$11,Data!$QF$1,IF(D8=Data!$W$12,Data!$QF$1,IF(D8=Data!$W$13,Data!$QF$1,IF(D8=Data!$W$14,Data!$QF$1,IF(D8=Data!$W$15,Data!$QF$1,IF(D8=Data!$W$16,Data!$QF$1))))))))))))))</f>
        <v>RollerBracketType2</v>
      </c>
      <c r="BA8" s="40" t="str">
        <f>IF(AND(F8&lt;2130, OR(G8&lt;2100)),Data!$KS$1,Data!$KT$1)</f>
        <v>Small_Tube</v>
      </c>
      <c r="BB8" s="92" t="e">
        <f>MATCH(W8,Data!$LA$1:$LD$1,0)</f>
        <v>#N/A</v>
      </c>
      <c r="BC8" s="92">
        <f>MATCH('Roller Blinds'!BA8,Data!$KZ$2:$KZ$3,0)</f>
        <v>1</v>
      </c>
      <c r="BD8" s="92" t="e">
        <f>INDEX(Data!$LA$2:$LD$3,'Roller Blinds'!BC8,'Roller Blinds'!BB8)</f>
        <v>#N/A</v>
      </c>
      <c r="BG8" s="92" t="b">
        <f>IF(O8=Data!$QK$2,Data!$QL$1,IF(O8=Data!$QK$3,Data!$QM$1,IF(O8=Data!$QK$4,Data!$QN$1,IF(O8=Data!$QK$5,Data!$QO$1,IF(O8=Data!$QK$6,Data!$QP$1,IF(O8=Data!$QK$7,Data!$QQ$1,IF(O8=Data!$QK$8,Data!$QR$1,IF(O8=Data!$QK$9,Data!$QS$1, IF(O8=Data!$QK$10,Data!$QV$1, IF(O8=Data!$QK$11,Data!$QW$1))))))))))</f>
        <v>0</v>
      </c>
      <c r="BH8" s="33" t="b">
        <f>IF(O8=Data!$QK$2,Data!$QL$17,IF(O8=Data!$QK$3,Data!$QM$17,IF(O8=Data!$QK$4,Data!$QN$17,IF(O8=Data!$QK$5,Data!$QO$17,IF(O8=Data!$QK$6,Data!$QP$17,IF(O8=Data!$QK$7,Data!$QQ$17,IF(O8=Data!$QK$8,Data!$QR$17,IF(O8=Data!$QK$9,Data!$QS$17,IF(O8=Data!$QK$10,Data!$QV$17,IF(O8=Data!$QK$11,Data!$QW$17))))))))))</f>
        <v>0</v>
      </c>
      <c r="BI8" s="33" t="e">
        <f>VLOOKUP(O8,Data!$PU$13:$PV$22,2,FALSE)</f>
        <v>#N/A</v>
      </c>
      <c r="BJ8" s="33" t="e">
        <f>MATCH('Roller Blinds'!D8,Data!$YK$2:$YK$15)</f>
        <v>#N/A</v>
      </c>
      <c r="BK8" s="33" t="e">
        <f>MATCH(L8,Data!$YL$1:$YM$1)</f>
        <v>#N/A</v>
      </c>
      <c r="BL8" s="33" t="e">
        <f>INDEX(Data!$YL$2:$YM$15,BJ8,BK8)</f>
        <v>#N/A</v>
      </c>
    </row>
    <row r="9" spans="1:64" ht="30" customHeight="1" thickTop="1" thickBot="1">
      <c r="A9" s="52">
        <v>2</v>
      </c>
      <c r="B9" s="13"/>
      <c r="C9" s="27"/>
      <c r="D9" s="13"/>
      <c r="E9" s="15"/>
      <c r="F9" s="10"/>
      <c r="G9" s="10"/>
      <c r="H9" s="14"/>
      <c r="I9" s="14"/>
      <c r="J9" s="484"/>
      <c r="K9" s="485"/>
      <c r="L9" s="15"/>
      <c r="M9" s="15"/>
      <c r="N9" s="15"/>
      <c r="O9" s="514"/>
      <c r="P9" s="515"/>
      <c r="Q9" s="13"/>
      <c r="R9" s="13"/>
      <c r="S9" s="13"/>
      <c r="T9" s="13"/>
      <c r="U9" s="13"/>
      <c r="V9" s="13"/>
      <c r="W9" s="13"/>
      <c r="X9" s="15"/>
      <c r="Y9" s="16"/>
      <c r="Z9" s="186"/>
      <c r="AA9" s="236"/>
      <c r="AB9" s="237"/>
      <c r="AC9" s="33" t="e">
        <f t="shared" ref="AC9:AC57" si="0">IF(AND(AD9="Yes",U9=""),"Enter","OK")</f>
        <v>#N/A</v>
      </c>
      <c r="AD9" s="33" t="e">
        <f>VLOOKUP(S9,Data!$QH$2:$QI$4,2,FALSE)</f>
        <v>#N/A</v>
      </c>
      <c r="AF9" s="92" t="e">
        <f t="shared" ref="AF9:AF57" si="1">IF(AND(AD9="Yes",T9=""),"Enter","OK")</f>
        <v>#N/A</v>
      </c>
      <c r="AG9" s="92" t="str">
        <f>IF(COUNTIF($H$8:$H$57,Data!KF4),Data!KG4,"")</f>
        <v/>
      </c>
      <c r="AI9" s="92" t="b">
        <f>IF(W9=Data!$KK$2,Data!$KM$1,IF(W9=Data!$KK$3,Data!$KN$1,IF(W9=Data!$KK$4,Data!$KP$1,IF(W9=Data!$KK$5,Data!$KQ$1))))</f>
        <v>0</v>
      </c>
      <c r="AJ9" s="33" t="str">
        <f>IF(D9=Data!$W$10,Data!$QJ$1,Data!$QK$1)</f>
        <v>RollerControl</v>
      </c>
      <c r="AM9" s="33" t="b">
        <f>IF(S9=Data!$PX$2,Data!$PZ$1,IF(S9=Data!$PX$3,Data!$PY$1,IF(S9=Data!$PX$4,Data!$QA$1)))</f>
        <v>0</v>
      </c>
      <c r="AO9" s="33" t="b">
        <f>IF(S9=Data!$PX$3,Data!$QB$1,IF(S9=Data!$PX$2,Data!$QC$1,IF(S9=Data!$PX$4,Data!$QD$1)))</f>
        <v>0</v>
      </c>
      <c r="AQ9" s="33" t="str">
        <f>IF(D9=Data!$W$3,Data!$QF$1,IF(D9=Data!$W$4,Data!$QF$1,IF(D9=Data!$W$5,Data!$QF$1,IF(D9=Data!$W$6,Data!$QF$1,IF(D9=Data!$W$7,Data!$QF$1,IF(D9=Data!$W$8,Data!$QF$1,IF(D9=Data!$W$9,Data!$QF$1,IF(D9=Data!$W$10,Data!$QE$1,IF(D9=Data!$W$11,Data!$QF$1,IF(D9=Data!$W$12,Data!$QF$1,IF(D9=Data!$W$13,Data!$QF$1,IF(D9=Data!$W$14,Data!$QF$1,IF(D9=Data!$W$15,Data!$QF$1,IF(D9=Data!$W$16,Data!$QF$1))))))))))))))</f>
        <v>RollerBracketType2</v>
      </c>
      <c r="BA9" s="40" t="str">
        <f>IF(AND(F9&lt;2130, OR(G9&lt;2100)),Data!$KS$1,Data!$KT$1)</f>
        <v>Small_Tube</v>
      </c>
      <c r="BB9" s="92" t="e">
        <f>MATCH(W9,Data!$LA$1:$LD$1,0)</f>
        <v>#N/A</v>
      </c>
      <c r="BC9" s="92">
        <f>MATCH('Roller Blinds'!BA9,Data!$KZ$2:$KZ$3,0)</f>
        <v>1</v>
      </c>
      <c r="BD9" s="92" t="e">
        <f>INDEX(Data!$LA$2:$LD$3,'Roller Blinds'!BC9,'Roller Blinds'!BB9)</f>
        <v>#N/A</v>
      </c>
      <c r="BG9" s="92" t="b">
        <f>IF(O9=Data!$QK$2,Data!$QL$1,IF(O9=Data!$QK$3,Data!$QM$1,IF(O9=Data!$QK$4,Data!$QN$1,IF(O9=Data!$QK$5,Data!$QO$1,IF(O9=Data!$QK$6,Data!$QP$1,IF(O9=Data!$QK$7,Data!$QQ$1,IF(O9=Data!$QK$8,Data!$QR$1,IF(O9=Data!$QK$9,Data!$QS$1, IF(O9=Data!$QK$10,Data!$QV$1, IF(O9=Data!$QK$11,Data!$QW$1))))))))))</f>
        <v>0</v>
      </c>
      <c r="BH9" s="33" t="b">
        <f>IF(O9=Data!$QK$2,Data!$QL$17,IF(O9=Data!$QK$3,Data!$QM$17,IF(O9=Data!$QK$4,Data!$QN$17,IF(O9=Data!$QK$5,Data!$QO$17,IF(O9=Data!$QK$6,Data!$QP$17,IF(O9=Data!$QK$7,Data!$QQ$17,IF(O9=Data!$QK$8,Data!$QR$17,IF(O9=Data!$QK$9,Data!$QS$17,IF(O9=Data!$QK$10,Data!$QV$17,IF(O9=Data!$QK$11,Data!$QW$17))))))))))</f>
        <v>0</v>
      </c>
      <c r="BI9" s="33" t="e">
        <f>VLOOKUP(O9,Data!$PU$13:$PV$22,2,FALSE)</f>
        <v>#N/A</v>
      </c>
      <c r="BJ9" s="33" t="e">
        <f>MATCH('Roller Blinds'!D9,Data!$YK$2:$YK$15)</f>
        <v>#N/A</v>
      </c>
      <c r="BK9" s="33" t="e">
        <f>MATCH(L9,Data!$YL$1:$YM$1)</f>
        <v>#N/A</v>
      </c>
      <c r="BL9" s="33" t="e">
        <f>INDEX(Data!$YL$2:$YM$15,BJ9,BK9)</f>
        <v>#N/A</v>
      </c>
    </row>
    <row r="10" spans="1:64" ht="30" customHeight="1" thickTop="1" thickBot="1">
      <c r="A10" s="53">
        <v>3</v>
      </c>
      <c r="B10" s="17"/>
      <c r="C10" s="17"/>
      <c r="D10" s="13"/>
      <c r="E10" s="15"/>
      <c r="F10" s="10"/>
      <c r="G10" s="10"/>
      <c r="H10" s="14"/>
      <c r="I10" s="14"/>
      <c r="J10" s="484"/>
      <c r="K10" s="485"/>
      <c r="L10" s="15"/>
      <c r="M10" s="15"/>
      <c r="N10" s="15"/>
      <c r="O10" s="514"/>
      <c r="P10" s="515"/>
      <c r="Q10" s="13"/>
      <c r="R10" s="13"/>
      <c r="S10" s="13"/>
      <c r="T10" s="13"/>
      <c r="U10" s="13"/>
      <c r="V10" s="13"/>
      <c r="W10" s="13"/>
      <c r="X10" s="15"/>
      <c r="Y10" s="16"/>
      <c r="Z10" s="186"/>
      <c r="AA10" s="236"/>
      <c r="AB10" s="237"/>
      <c r="AC10" s="33" t="e">
        <f t="shared" si="0"/>
        <v>#N/A</v>
      </c>
      <c r="AD10" s="33" t="e">
        <f>VLOOKUP(S10,Data!$QH$2:$QI$4,2,FALSE)</f>
        <v>#N/A</v>
      </c>
      <c r="AF10" s="92" t="e">
        <f t="shared" si="1"/>
        <v>#N/A</v>
      </c>
      <c r="AG10" s="92" t="str">
        <f>IF(COUNTIF($H$8:$H$57,Data!KF5),Data!KG5,"")</f>
        <v/>
      </c>
      <c r="AI10" s="92" t="b">
        <f>IF(W10=Data!$KK$2,Data!$KM$1,IF(W10=Data!$KK$3,Data!$KN$1,IF(W10=Data!$KK$4,Data!$KP$1,IF(W10=Data!$KK$5,Data!$KQ$1))))</f>
        <v>0</v>
      </c>
      <c r="AJ10" s="33" t="str">
        <f>IF(D10=Data!$W$10,Data!$QJ$1,Data!$QK$1)</f>
        <v>RollerControl</v>
      </c>
      <c r="AM10" s="33" t="b">
        <f>IF(S10=Data!$PX$2,Data!$PZ$1,IF(S10=Data!$PX$3,Data!$PY$1,IF(S10=Data!$PX$4,Data!$QA$1)))</f>
        <v>0</v>
      </c>
      <c r="AO10" s="33" t="b">
        <f>IF(S10=Data!$PX$3,Data!$QB$1,IF(S10=Data!$PX$2,Data!$QC$1,IF(S10=Data!$PX$4,Data!$QD$1)))</f>
        <v>0</v>
      </c>
      <c r="AQ10" s="33" t="str">
        <f>IF(D10=Data!$W$3,Data!$QF$1,IF(D10=Data!$W$4,Data!$QF$1,IF(D10=Data!$W$5,Data!$QF$1,IF(D10=Data!$W$6,Data!$QF$1,IF(D10=Data!$W$7,Data!$QF$1,IF(D10=Data!$W$8,Data!$QF$1,IF(D10=Data!$W$9,Data!$QF$1,IF(D10=Data!$W$10,Data!$QE$1,IF(D10=Data!$W$11,Data!$QF$1,IF(D10=Data!$W$12,Data!$QF$1,IF(D10=Data!$W$13,Data!$QF$1,IF(D10=Data!$W$14,Data!$QF$1,IF(D10=Data!$W$15,Data!$QF$1,IF(D10=Data!$W$16,Data!$QF$1))))))))))))))</f>
        <v>RollerBracketType2</v>
      </c>
      <c r="BA10" s="40" t="str">
        <f>IF(AND(F10&lt;2130, OR(G10&lt;2100)),Data!$KS$1,Data!$KT$1)</f>
        <v>Small_Tube</v>
      </c>
      <c r="BB10" s="92" t="e">
        <f>MATCH(W10,Data!$LA$1:$LD$1,0)</f>
        <v>#N/A</v>
      </c>
      <c r="BC10" s="92">
        <f>MATCH('Roller Blinds'!BA10,Data!$KZ$2:$KZ$3,0)</f>
        <v>1</v>
      </c>
      <c r="BD10" s="92" t="e">
        <f>INDEX(Data!$LA$2:$LD$3,'Roller Blinds'!BC10,'Roller Blinds'!BB10)</f>
        <v>#N/A</v>
      </c>
      <c r="BG10" s="92" t="b">
        <f>IF(O10=Data!$QK$2,Data!$QL$1,IF(O10=Data!$QK$3,Data!$QM$1,IF(O10=Data!$QK$4,Data!$QN$1,IF(O10=Data!$QK$5,Data!$QO$1,IF(O10=Data!$QK$6,Data!$QP$1,IF(O10=Data!$QK$7,Data!$QQ$1,IF(O10=Data!$QK$8,Data!$QR$1,IF(O10=Data!$QK$9,Data!$QS$1, IF(O10=Data!$QK$10,Data!$QV$1, IF(O10=Data!$QK$11,Data!$QW$1))))))))))</f>
        <v>0</v>
      </c>
      <c r="BH10" s="33" t="b">
        <f>IF(O10=Data!$QK$2,Data!$QL$17,IF(O10=Data!$QK$3,Data!$QM$17,IF(O10=Data!$QK$4,Data!$QN$17,IF(O10=Data!$QK$5,Data!$QO$17,IF(O10=Data!$QK$6,Data!$QP$17,IF(O10=Data!$QK$7,Data!$QQ$17,IF(O10=Data!$QK$8,Data!$QR$17,IF(O10=Data!$QK$9,Data!$QS$17,IF(O10=Data!$QK$10,Data!$QV$17,IF(O10=Data!$QK$11,Data!$QW$17))))))))))</f>
        <v>0</v>
      </c>
      <c r="BI10" s="33" t="e">
        <f>VLOOKUP(O10,Data!$PU$13:$PV$22,2,FALSE)</f>
        <v>#N/A</v>
      </c>
      <c r="BJ10" s="33" t="e">
        <f>MATCH('Roller Blinds'!D10,Data!$YK$2:$YK$15)</f>
        <v>#N/A</v>
      </c>
      <c r="BK10" s="33" t="e">
        <f>MATCH(L10,Data!$YL$1:$YM$1)</f>
        <v>#N/A</v>
      </c>
      <c r="BL10" s="33" t="e">
        <f>INDEX(Data!$YL$2:$YM$15,BJ10,BK10)</f>
        <v>#N/A</v>
      </c>
    </row>
    <row r="11" spans="1:64" ht="30" customHeight="1" thickTop="1" thickBot="1">
      <c r="A11" s="53">
        <v>4</v>
      </c>
      <c r="B11" s="17"/>
      <c r="C11" s="17"/>
      <c r="D11" s="13"/>
      <c r="E11" s="15"/>
      <c r="F11" s="10"/>
      <c r="G11" s="10"/>
      <c r="H11" s="14"/>
      <c r="I11" s="14"/>
      <c r="J11" s="484"/>
      <c r="K11" s="485"/>
      <c r="L11" s="15"/>
      <c r="M11" s="15"/>
      <c r="N11" s="15"/>
      <c r="O11" s="514"/>
      <c r="P11" s="515"/>
      <c r="Q11" s="13"/>
      <c r="R11" s="13"/>
      <c r="S11" s="13"/>
      <c r="T11" s="13"/>
      <c r="U11" s="13"/>
      <c r="V11" s="13"/>
      <c r="W11" s="13"/>
      <c r="X11" s="15"/>
      <c r="Y11" s="16"/>
      <c r="Z11" s="186"/>
      <c r="AA11" s="236"/>
      <c r="AB11" s="237"/>
      <c r="AC11" s="33" t="e">
        <f t="shared" si="0"/>
        <v>#N/A</v>
      </c>
      <c r="AD11" s="33" t="e">
        <f>VLOOKUP(S11,Data!$QH$2:$QI$4,2,FALSE)</f>
        <v>#N/A</v>
      </c>
      <c r="AF11" s="92" t="e">
        <f t="shared" si="1"/>
        <v>#N/A</v>
      </c>
      <c r="AG11" s="92" t="str">
        <f>IF(COUNTIF($H$8:$H$57,Data!KF6),Data!KG6,"")</f>
        <v/>
      </c>
      <c r="AI11" s="92" t="b">
        <f>IF(W11=Data!$KK$2,Data!$KM$1,IF(W11=Data!$KK$3,Data!$KN$1,IF(W11=Data!$KK$4,Data!$KP$1,IF(W11=Data!$KK$5,Data!$KQ$1))))</f>
        <v>0</v>
      </c>
      <c r="AJ11" s="33" t="str">
        <f>IF(D11=Data!$W$10,Data!$QJ$1,Data!$QK$1)</f>
        <v>RollerControl</v>
      </c>
      <c r="AM11" s="33" t="b">
        <f>IF(S11=Data!$PX$2,Data!$PZ$1,IF(S11=Data!$PX$3,Data!$PY$1,IF(S11=Data!$PX$4,Data!$QA$1)))</f>
        <v>0</v>
      </c>
      <c r="AO11" s="33" t="b">
        <f>IF(S11=Data!$PX$3,Data!$QB$1,IF(S11=Data!$PX$2,Data!$QC$1,IF(S11=Data!$PX$4,Data!$QD$1)))</f>
        <v>0</v>
      </c>
      <c r="AQ11" s="33" t="str">
        <f>IF(D11=Data!$W$3,Data!$QF$1,IF(D11=Data!$W$4,Data!$QF$1,IF(D11=Data!$W$5,Data!$QF$1,IF(D11=Data!$W$6,Data!$QF$1,IF(D11=Data!$W$7,Data!$QF$1,IF(D11=Data!$W$8,Data!$QF$1,IF(D11=Data!$W$9,Data!$QF$1,IF(D11=Data!$W$10,Data!$QE$1,IF(D11=Data!$W$11,Data!$QF$1,IF(D11=Data!$W$12,Data!$QF$1,IF(D11=Data!$W$13,Data!$QF$1,IF(D11=Data!$W$14,Data!$QF$1,IF(D11=Data!$W$15,Data!$QF$1,IF(D11=Data!$W$16,Data!$QF$1))))))))))))))</f>
        <v>RollerBracketType2</v>
      </c>
      <c r="BA11" s="40" t="str">
        <f>IF(AND(F11&lt;2130, OR(G11&lt;2100)),Data!$KS$1,Data!$KT$1)</f>
        <v>Small_Tube</v>
      </c>
      <c r="BB11" s="92" t="e">
        <f>MATCH(W11,Data!$LA$1:$LD$1,0)</f>
        <v>#N/A</v>
      </c>
      <c r="BC11" s="92">
        <f>MATCH('Roller Blinds'!BA11,Data!$KZ$2:$KZ$3,0)</f>
        <v>1</v>
      </c>
      <c r="BD11" s="92" t="e">
        <f>INDEX(Data!$LA$2:$LD$3,'Roller Blinds'!BC11,'Roller Blinds'!BB11)</f>
        <v>#N/A</v>
      </c>
      <c r="BG11" s="92" t="b">
        <f>IF(O11=Data!$QK$2,Data!$QL$1,IF(O11=Data!$QK$3,Data!$QM$1,IF(O11=Data!$QK$4,Data!$QN$1,IF(O11=Data!$QK$5,Data!$QO$1,IF(O11=Data!$QK$6,Data!$QP$1,IF(O11=Data!$QK$7,Data!$QQ$1,IF(O11=Data!$QK$8,Data!$QR$1,IF(O11=Data!$QK$9,Data!$QS$1, IF(O11=Data!$QK$10,Data!$QV$1, IF(O11=Data!$QK$11,Data!$QW$1))))))))))</f>
        <v>0</v>
      </c>
      <c r="BH11" s="33" t="b">
        <f>IF(O11=Data!$QK$2,Data!$QL$17,IF(O11=Data!$QK$3,Data!$QM$17,IF(O11=Data!$QK$4,Data!$QN$17,IF(O11=Data!$QK$5,Data!$QO$17,IF(O11=Data!$QK$6,Data!$QP$17,IF(O11=Data!$QK$7,Data!$QQ$17,IF(O11=Data!$QK$8,Data!$QR$17,IF(O11=Data!$QK$9,Data!$QS$17,IF(O11=Data!$QK$10,Data!$QV$17,IF(O11=Data!$QK$11,Data!$QW$17))))))))))</f>
        <v>0</v>
      </c>
      <c r="BI11" s="33" t="e">
        <f>VLOOKUP(O11,Data!$PU$13:$PV$22,2,FALSE)</f>
        <v>#N/A</v>
      </c>
      <c r="BJ11" s="33" t="e">
        <f>MATCH('Roller Blinds'!D11,Data!$YK$2:$YK$15)</f>
        <v>#N/A</v>
      </c>
      <c r="BK11" s="33" t="e">
        <f>MATCH(L11,Data!$YL$1:$YM$1)</f>
        <v>#N/A</v>
      </c>
      <c r="BL11" s="33" t="e">
        <f>INDEX(Data!$YL$2:$YM$15,BJ11,BK11)</f>
        <v>#N/A</v>
      </c>
    </row>
    <row r="12" spans="1:64" ht="30" customHeight="1" thickTop="1" thickBot="1">
      <c r="A12" s="53">
        <v>5</v>
      </c>
      <c r="B12" s="17"/>
      <c r="C12" s="17"/>
      <c r="D12" s="13"/>
      <c r="E12" s="15"/>
      <c r="F12" s="10"/>
      <c r="G12" s="10"/>
      <c r="H12" s="14"/>
      <c r="I12" s="14"/>
      <c r="J12" s="484"/>
      <c r="K12" s="485"/>
      <c r="L12" s="15"/>
      <c r="M12" s="15"/>
      <c r="N12" s="15"/>
      <c r="O12" s="514"/>
      <c r="P12" s="515"/>
      <c r="Q12" s="13"/>
      <c r="R12" s="13"/>
      <c r="S12" s="13"/>
      <c r="T12" s="13"/>
      <c r="U12" s="13"/>
      <c r="V12" s="13"/>
      <c r="W12" s="13"/>
      <c r="X12" s="15"/>
      <c r="Y12" s="16"/>
      <c r="Z12" s="186"/>
      <c r="AA12" s="236"/>
      <c r="AB12" s="237"/>
      <c r="AC12" s="33" t="e">
        <f t="shared" si="0"/>
        <v>#N/A</v>
      </c>
      <c r="AD12" s="33" t="e">
        <f>VLOOKUP(S12,Data!$QH$2:$QI$4,2,FALSE)</f>
        <v>#N/A</v>
      </c>
      <c r="AF12" s="92" t="e">
        <f t="shared" si="1"/>
        <v>#N/A</v>
      </c>
      <c r="AG12" s="92" t="str">
        <f>IF(COUNTIF($H$8:$H$57,Data!KF7),Data!KG7,"")</f>
        <v/>
      </c>
      <c r="AI12" s="92" t="b">
        <f>IF(W12=Data!$KK$2,Data!$KM$1,IF(W12=Data!$KK$3,Data!$KN$1,IF(W12=Data!$KK$4,Data!$KP$1,IF(W12=Data!$KK$5,Data!$KQ$1))))</f>
        <v>0</v>
      </c>
      <c r="AJ12" s="33" t="str">
        <f>IF(D12=Data!$W$10,Data!$QJ$1,Data!$QK$1)</f>
        <v>RollerControl</v>
      </c>
      <c r="AM12" s="33" t="b">
        <f>IF(S12=Data!$PX$2,Data!$PZ$1,IF(S12=Data!$PX$3,Data!$PY$1,IF(S12=Data!$PX$4,Data!$QA$1)))</f>
        <v>0</v>
      </c>
      <c r="AO12" s="33" t="b">
        <f>IF(S12=Data!$PX$3,Data!$QB$1,IF(S12=Data!$PX$2,Data!$QC$1,IF(S12=Data!$PX$4,Data!$QD$1)))</f>
        <v>0</v>
      </c>
      <c r="AQ12" s="33" t="str">
        <f>IF(D12=Data!$W$3,Data!$QF$1,IF(D12=Data!$W$4,Data!$QF$1,IF(D12=Data!$W$5,Data!$QF$1,IF(D12=Data!$W$6,Data!$QF$1,IF(D12=Data!$W$7,Data!$QF$1,IF(D12=Data!$W$8,Data!$QF$1,IF(D12=Data!$W$9,Data!$QF$1,IF(D12=Data!$W$10,Data!$QE$1,IF(D12=Data!$W$11,Data!$QF$1,IF(D12=Data!$W$12,Data!$QF$1,IF(D12=Data!$W$13,Data!$QF$1,IF(D12=Data!$W$14,Data!$QF$1,IF(D12=Data!$W$15,Data!$QF$1,IF(D12=Data!$W$16,Data!$QF$1))))))))))))))</f>
        <v>RollerBracketType2</v>
      </c>
      <c r="BA12" s="40" t="str">
        <f>IF(AND(F12&lt;2130, OR(G12&lt;2100)),Data!$KS$1,Data!$KT$1)</f>
        <v>Small_Tube</v>
      </c>
      <c r="BB12" s="92" t="e">
        <f>MATCH(W12,Data!$LA$1:$LD$1,0)</f>
        <v>#N/A</v>
      </c>
      <c r="BC12" s="92">
        <f>MATCH('Roller Blinds'!BA12,Data!$KZ$2:$KZ$3,0)</f>
        <v>1</v>
      </c>
      <c r="BD12" s="92" t="e">
        <f>INDEX(Data!$LA$2:$LD$3,'Roller Blinds'!BC12,'Roller Blinds'!BB12)</f>
        <v>#N/A</v>
      </c>
      <c r="BG12" s="92" t="b">
        <f>IF(O12=Data!$QK$2,Data!$QL$1,IF(O12=Data!$QK$3,Data!$QM$1,IF(O12=Data!$QK$4,Data!$QN$1,IF(O12=Data!$QK$5,Data!$QO$1,IF(O12=Data!$QK$6,Data!$QP$1,IF(O12=Data!$QK$7,Data!$QQ$1,IF(O12=Data!$QK$8,Data!$QR$1,IF(O12=Data!$QK$9,Data!$QS$1, IF(O12=Data!$QK$10,Data!$QV$1, IF(O12=Data!$QK$11,Data!$QW$1))))))))))</f>
        <v>0</v>
      </c>
      <c r="BH12" s="33" t="b">
        <f>IF(O12=Data!$QK$2,Data!$QL$17,IF(O12=Data!$QK$3,Data!$QM$17,IF(O12=Data!$QK$4,Data!$QN$17,IF(O12=Data!$QK$5,Data!$QO$17,IF(O12=Data!$QK$6,Data!$QP$17,IF(O12=Data!$QK$7,Data!$QQ$17,IF(O12=Data!$QK$8,Data!$QR$17,IF(O12=Data!$QK$9,Data!$QS$17,IF(O12=Data!$QK$10,Data!$QV$17,IF(O12=Data!$QK$11,Data!$QW$17))))))))))</f>
        <v>0</v>
      </c>
      <c r="BI12" s="33" t="e">
        <f>VLOOKUP(O12,Data!$PU$13:$PV$22,2,FALSE)</f>
        <v>#N/A</v>
      </c>
      <c r="BJ12" s="33" t="e">
        <f>MATCH('Roller Blinds'!D12,Data!$YK$2:$YK$15)</f>
        <v>#N/A</v>
      </c>
      <c r="BK12" s="33" t="e">
        <f>MATCH(L12,Data!$YL$1:$YM$1)</f>
        <v>#N/A</v>
      </c>
      <c r="BL12" s="33" t="e">
        <f>INDEX(Data!$YL$2:$YM$15,BJ12,BK12)</f>
        <v>#N/A</v>
      </c>
    </row>
    <row r="13" spans="1:64" ht="30" customHeight="1" thickTop="1" thickBot="1">
      <c r="A13" s="53">
        <v>6</v>
      </c>
      <c r="B13" s="17"/>
      <c r="C13" s="17"/>
      <c r="D13" s="13"/>
      <c r="E13" s="15"/>
      <c r="F13" s="10"/>
      <c r="G13" s="10"/>
      <c r="H13" s="14"/>
      <c r="I13" s="14"/>
      <c r="J13" s="484"/>
      <c r="K13" s="485"/>
      <c r="L13" s="15"/>
      <c r="M13" s="15"/>
      <c r="N13" s="15"/>
      <c r="O13" s="514"/>
      <c r="P13" s="515"/>
      <c r="Q13" s="13"/>
      <c r="R13" s="13"/>
      <c r="S13" s="13"/>
      <c r="T13" s="13"/>
      <c r="U13" s="13"/>
      <c r="V13" s="13"/>
      <c r="W13" s="13"/>
      <c r="X13" s="15"/>
      <c r="Y13" s="16"/>
      <c r="Z13" s="186"/>
      <c r="AA13" s="236"/>
      <c r="AB13" s="237"/>
      <c r="AC13" s="33" t="e">
        <f t="shared" si="0"/>
        <v>#N/A</v>
      </c>
      <c r="AD13" s="33" t="e">
        <f>VLOOKUP(S13,Data!$QH$2:$QI$4,2,FALSE)</f>
        <v>#N/A</v>
      </c>
      <c r="AF13" s="92" t="e">
        <f t="shared" si="1"/>
        <v>#N/A</v>
      </c>
      <c r="AG13" s="92" t="str">
        <f>IF(COUNTIF($H$8:$H$57,Data!KF8),Data!KG8,"")</f>
        <v/>
      </c>
      <c r="AI13" s="92" t="b">
        <f>IF(W13=Data!$KK$2,Data!$KM$1,IF(W13=Data!$KK$3,Data!$KN$1,IF(W13=Data!$KK$4,Data!$KP$1,IF(W13=Data!$KK$5,Data!$KQ$1))))</f>
        <v>0</v>
      </c>
      <c r="AJ13" s="33" t="str">
        <f>IF(D13=Data!$W$10,Data!$QJ$1,Data!$QK$1)</f>
        <v>RollerControl</v>
      </c>
      <c r="AM13" s="33" t="b">
        <f>IF(S13=Data!$PX$2,Data!$PZ$1,IF(S13=Data!$PX$3,Data!$PY$1,IF(S13=Data!$PX$4,Data!$QA$1)))</f>
        <v>0</v>
      </c>
      <c r="AO13" s="33" t="b">
        <f>IF(S13=Data!$PX$3,Data!$QB$1,IF(S13=Data!$PX$2,Data!$QC$1,IF(S13=Data!$PX$4,Data!$QD$1)))</f>
        <v>0</v>
      </c>
      <c r="AQ13" s="33" t="str">
        <f>IF(D13=Data!$W$3,Data!$QF$1,IF(D13=Data!$W$4,Data!$QF$1,IF(D13=Data!$W$5,Data!$QF$1,IF(D13=Data!$W$6,Data!$QF$1,IF(D13=Data!$W$7,Data!$QF$1,IF(D13=Data!$W$8,Data!$QF$1,IF(D13=Data!$W$9,Data!$QF$1,IF(D13=Data!$W$10,Data!$QE$1,IF(D13=Data!$W$11,Data!$QF$1,IF(D13=Data!$W$12,Data!$QF$1,IF(D13=Data!$W$13,Data!$QF$1,IF(D13=Data!$W$14,Data!$QF$1,IF(D13=Data!$W$15,Data!$QF$1,IF(D13=Data!$W$16,Data!$QF$1))))))))))))))</f>
        <v>RollerBracketType2</v>
      </c>
      <c r="BA13" s="40" t="str">
        <f>IF(AND(F13&lt;2130, OR(G13&lt;2100)),Data!$KS$1,Data!$KT$1)</f>
        <v>Small_Tube</v>
      </c>
      <c r="BB13" s="92" t="e">
        <f>MATCH(W13,Data!$LA$1:$LD$1,0)</f>
        <v>#N/A</v>
      </c>
      <c r="BC13" s="92">
        <f>MATCH('Roller Blinds'!BA13,Data!$KZ$2:$KZ$3,0)</f>
        <v>1</v>
      </c>
      <c r="BD13" s="92" t="e">
        <f>INDEX(Data!$LA$2:$LD$3,'Roller Blinds'!BC13,'Roller Blinds'!BB13)</f>
        <v>#N/A</v>
      </c>
      <c r="BG13" s="92" t="b">
        <f>IF(O13=Data!$QK$2,Data!$QL$1,IF(O13=Data!$QK$3,Data!$QM$1,IF(O13=Data!$QK$4,Data!$QN$1,IF(O13=Data!$QK$5,Data!$QO$1,IF(O13=Data!$QK$6,Data!$QP$1,IF(O13=Data!$QK$7,Data!$QQ$1,IF(O13=Data!$QK$8,Data!$QR$1,IF(O13=Data!$QK$9,Data!$QS$1, IF(O13=Data!$QK$10,Data!$QV$1, IF(O13=Data!$QK$11,Data!$QW$1))))))))))</f>
        <v>0</v>
      </c>
      <c r="BH13" s="33" t="b">
        <f>IF(O13=Data!$QK$2,Data!$QL$17,IF(O13=Data!$QK$3,Data!$QM$17,IF(O13=Data!$QK$4,Data!$QN$17,IF(O13=Data!$QK$5,Data!$QO$17,IF(O13=Data!$QK$6,Data!$QP$17,IF(O13=Data!$QK$7,Data!$QQ$17,IF(O13=Data!$QK$8,Data!$QR$17,IF(O13=Data!$QK$9,Data!$QS$17,IF(O13=Data!$QK$10,Data!$QV$17,IF(O13=Data!$QK$11,Data!$QW$17))))))))))</f>
        <v>0</v>
      </c>
      <c r="BI13" s="33" t="e">
        <f>VLOOKUP(O13,Data!$PU$13:$PV$22,2,FALSE)</f>
        <v>#N/A</v>
      </c>
      <c r="BJ13" s="33" t="e">
        <f>MATCH('Roller Blinds'!D13,Data!$YK$2:$YK$15)</f>
        <v>#N/A</v>
      </c>
      <c r="BK13" s="33" t="e">
        <f>MATCH(L13,Data!$YL$1:$YM$1)</f>
        <v>#N/A</v>
      </c>
      <c r="BL13" s="33" t="e">
        <f>INDEX(Data!$YL$2:$YM$15,BJ13,BK13)</f>
        <v>#N/A</v>
      </c>
    </row>
    <row r="14" spans="1:64" ht="30" customHeight="1" thickTop="1" thickBot="1">
      <c r="A14" s="53">
        <v>7</v>
      </c>
      <c r="B14" s="17"/>
      <c r="C14" s="17"/>
      <c r="D14" s="13"/>
      <c r="E14" s="15"/>
      <c r="F14" s="10"/>
      <c r="G14" s="10"/>
      <c r="H14" s="14"/>
      <c r="I14" s="14"/>
      <c r="J14" s="484"/>
      <c r="K14" s="485"/>
      <c r="L14" s="15"/>
      <c r="M14" s="15"/>
      <c r="N14" s="15"/>
      <c r="O14" s="514"/>
      <c r="P14" s="515"/>
      <c r="Q14" s="13"/>
      <c r="R14" s="13"/>
      <c r="S14" s="13"/>
      <c r="T14" s="13"/>
      <c r="U14" s="13"/>
      <c r="V14" s="13"/>
      <c r="W14" s="13"/>
      <c r="X14" s="15"/>
      <c r="Y14" s="16"/>
      <c r="Z14" s="186"/>
      <c r="AA14" s="236"/>
      <c r="AB14" s="237"/>
      <c r="AC14" s="33" t="e">
        <f t="shared" si="0"/>
        <v>#N/A</v>
      </c>
      <c r="AD14" s="33" t="e">
        <f>VLOOKUP(S14,Data!$QH$2:$QI$4,2,FALSE)</f>
        <v>#N/A</v>
      </c>
      <c r="AF14" s="92" t="e">
        <f t="shared" si="1"/>
        <v>#N/A</v>
      </c>
      <c r="AG14" s="92" t="str">
        <f>IF(COUNTIF($H$8:$H$57,Data!KF9),Data!KG9,"")</f>
        <v/>
      </c>
      <c r="AI14" s="92" t="b">
        <f>IF(W14=Data!$KK$2,Data!$KM$1,IF(W14=Data!$KK$3,Data!$KN$1,IF(W14=Data!$KK$4,Data!$KP$1,IF(W14=Data!$KK$5,Data!$KQ$1))))</f>
        <v>0</v>
      </c>
      <c r="AJ14" s="33" t="str">
        <f>IF(D14=Data!$W$10,Data!$QJ$1,Data!$QK$1)</f>
        <v>RollerControl</v>
      </c>
      <c r="AM14" s="33" t="b">
        <f>IF(S14=Data!$PX$2,Data!$PZ$1,IF(S14=Data!$PX$3,Data!$PY$1,IF(S14=Data!$PX$4,Data!$QA$1)))</f>
        <v>0</v>
      </c>
      <c r="AO14" s="33" t="b">
        <f>IF(S14=Data!$PX$3,Data!$QB$1,IF(S14=Data!$PX$2,Data!$QC$1,IF(S14=Data!$PX$4,Data!$QD$1)))</f>
        <v>0</v>
      </c>
      <c r="AQ14" s="33" t="str">
        <f>IF(D14=Data!$W$3,Data!$QF$1,IF(D14=Data!$W$4,Data!$QF$1,IF(D14=Data!$W$5,Data!$QF$1,IF(D14=Data!$W$6,Data!$QF$1,IF(D14=Data!$W$7,Data!$QF$1,IF(D14=Data!$W$8,Data!$QF$1,IF(D14=Data!$W$9,Data!$QF$1,IF(D14=Data!$W$10,Data!$QE$1,IF(D14=Data!$W$11,Data!$QF$1,IF(D14=Data!$W$12,Data!$QF$1,IF(D14=Data!$W$13,Data!$QF$1,IF(D14=Data!$W$14,Data!$QF$1,IF(D14=Data!$W$15,Data!$QF$1,IF(D14=Data!$W$16,Data!$QF$1))))))))))))))</f>
        <v>RollerBracketType2</v>
      </c>
      <c r="BA14" s="40" t="str">
        <f>IF(AND(F14&lt;2130, OR(G14&lt;2100)),Data!$KS$1,Data!$KT$1)</f>
        <v>Small_Tube</v>
      </c>
      <c r="BB14" s="92" t="e">
        <f>MATCH(W14,Data!$LA$1:$LD$1,0)</f>
        <v>#N/A</v>
      </c>
      <c r="BC14" s="92">
        <f>MATCH('Roller Blinds'!BA14,Data!$KZ$2:$KZ$3,0)</f>
        <v>1</v>
      </c>
      <c r="BD14" s="92" t="e">
        <f>INDEX(Data!$LA$2:$LD$3,'Roller Blinds'!BC14,'Roller Blinds'!BB14)</f>
        <v>#N/A</v>
      </c>
      <c r="BG14" s="92" t="b">
        <f>IF(O14=Data!$QK$2,Data!$QL$1,IF(O14=Data!$QK$3,Data!$QM$1,IF(O14=Data!$QK$4,Data!$QN$1,IF(O14=Data!$QK$5,Data!$QO$1,IF(O14=Data!$QK$6,Data!$QP$1,IF(O14=Data!$QK$7,Data!$QQ$1,IF(O14=Data!$QK$8,Data!$QR$1,IF(O14=Data!$QK$9,Data!$QS$1, IF(O14=Data!$QK$10,Data!$QV$1, IF(O14=Data!$QK$11,Data!$QW$1))))))))))</f>
        <v>0</v>
      </c>
      <c r="BH14" s="33" t="b">
        <f>IF(O14=Data!$QK$2,Data!$QL$17,IF(O14=Data!$QK$3,Data!$QM$17,IF(O14=Data!$QK$4,Data!$QN$17,IF(O14=Data!$QK$5,Data!$QO$17,IF(O14=Data!$QK$6,Data!$QP$17,IF(O14=Data!$QK$7,Data!$QQ$17,IF(O14=Data!$QK$8,Data!$QR$17,IF(O14=Data!$QK$9,Data!$QS$17,IF(O14=Data!$QK$10,Data!$QV$17,IF(O14=Data!$QK$11,Data!$QW$17))))))))))</f>
        <v>0</v>
      </c>
      <c r="BI14" s="33" t="e">
        <f>VLOOKUP(O14,Data!$PU$13:$PV$22,2,FALSE)</f>
        <v>#N/A</v>
      </c>
      <c r="BJ14" s="33" t="e">
        <f>MATCH('Roller Blinds'!D14,Data!$YK$2:$YK$15)</f>
        <v>#N/A</v>
      </c>
      <c r="BK14" s="33" t="e">
        <f>MATCH(L14,Data!$YL$1:$YM$1)</f>
        <v>#N/A</v>
      </c>
      <c r="BL14" s="33" t="e">
        <f>INDEX(Data!$YL$2:$YM$15,BJ14,BK14)</f>
        <v>#N/A</v>
      </c>
    </row>
    <row r="15" spans="1:64" ht="30" customHeight="1" thickTop="1" thickBot="1">
      <c r="A15" s="53">
        <v>8</v>
      </c>
      <c r="B15" s="17"/>
      <c r="C15" s="17"/>
      <c r="D15" s="19"/>
      <c r="E15" s="15"/>
      <c r="F15" s="10"/>
      <c r="G15" s="10"/>
      <c r="H15" s="14"/>
      <c r="I15" s="14"/>
      <c r="J15" s="484"/>
      <c r="K15" s="485"/>
      <c r="L15" s="15"/>
      <c r="M15" s="15"/>
      <c r="N15" s="15"/>
      <c r="O15" s="514"/>
      <c r="P15" s="515"/>
      <c r="Q15" s="13"/>
      <c r="R15" s="13"/>
      <c r="S15" s="13"/>
      <c r="T15" s="13"/>
      <c r="U15" s="13"/>
      <c r="V15" s="13"/>
      <c r="W15" s="13"/>
      <c r="X15" s="15"/>
      <c r="Y15" s="16"/>
      <c r="Z15" s="186"/>
      <c r="AA15" s="236"/>
      <c r="AB15" s="237"/>
      <c r="AC15" s="33" t="e">
        <f t="shared" si="0"/>
        <v>#N/A</v>
      </c>
      <c r="AD15" s="33" t="e">
        <f>VLOOKUP(S15,Data!$QH$2:$QI$4,2,FALSE)</f>
        <v>#N/A</v>
      </c>
      <c r="AF15" s="92" t="e">
        <f t="shared" si="1"/>
        <v>#N/A</v>
      </c>
      <c r="AG15" s="92" t="str">
        <f>IF(COUNTIF(AG8:AG14,Data!KG6),Data!KH6,"")</f>
        <v/>
      </c>
      <c r="AI15" s="92" t="b">
        <f>IF(W15=Data!$KK$2,Data!$KM$1,IF(W15=Data!$KK$3,Data!$KN$1,IF(W15=Data!$KK$4,Data!$KP$1,IF(W15=Data!$KK$5,Data!$KQ$1))))</f>
        <v>0</v>
      </c>
      <c r="AJ15" s="33" t="str">
        <f>IF(D15=Data!$W$10,Data!$QJ$1,Data!$QK$1)</f>
        <v>RollerControl</v>
      </c>
      <c r="AM15" s="33" t="b">
        <f>IF(S15=Data!$PX$2,Data!$PZ$1,IF(S15=Data!$PX$3,Data!$PY$1,IF(S15=Data!$PX$4,Data!$QA$1)))</f>
        <v>0</v>
      </c>
      <c r="AO15" s="33" t="b">
        <f>IF(S15=Data!$PX$3,Data!$QB$1,IF(S15=Data!$PX$2,Data!$QC$1,IF(S15=Data!$PX$4,Data!$QD$1)))</f>
        <v>0</v>
      </c>
      <c r="AQ15" s="33" t="str">
        <f>IF(D15=Data!$W$3,Data!$QF$1,IF(D15=Data!$W$4,Data!$QF$1,IF(D15=Data!$W$5,Data!$QF$1,IF(D15=Data!$W$6,Data!$QF$1,IF(D15=Data!$W$7,Data!$QF$1,IF(D15=Data!$W$8,Data!$QF$1,IF(D15=Data!$W$9,Data!$QF$1,IF(D15=Data!$W$10,Data!$QE$1,IF(D15=Data!$W$11,Data!$QF$1,IF(D15=Data!$W$12,Data!$QF$1,IF(D15=Data!$W$13,Data!$QF$1,IF(D15=Data!$W$14,Data!$QF$1,IF(D15=Data!$W$15,Data!$QF$1,IF(D15=Data!$W$16,Data!$QF$1))))))))))))))</f>
        <v>RollerBracketType2</v>
      </c>
      <c r="BA15" s="40" t="str">
        <f>IF(AND(F15&lt;2130, OR(G15&lt;2100)),Data!$KS$1,Data!$KT$1)</f>
        <v>Small_Tube</v>
      </c>
      <c r="BB15" s="92" t="e">
        <f>MATCH(W15,Data!$LA$1:$LD$1,0)</f>
        <v>#N/A</v>
      </c>
      <c r="BC15" s="92">
        <f>MATCH('Roller Blinds'!BA15,Data!$KZ$2:$KZ$3,0)</f>
        <v>1</v>
      </c>
      <c r="BD15" s="92" t="e">
        <f>INDEX(Data!$LA$2:$LD$3,'Roller Blinds'!BC15,'Roller Blinds'!BB15)</f>
        <v>#N/A</v>
      </c>
      <c r="BG15" s="92" t="b">
        <f>IF(O15=Data!$QK$2,Data!$QL$1,IF(O15=Data!$QK$3,Data!$QM$1,IF(O15=Data!$QK$4,Data!$QN$1,IF(O15=Data!$QK$5,Data!$QO$1,IF(O15=Data!$QK$6,Data!$QP$1,IF(O15=Data!$QK$7,Data!$QQ$1,IF(O15=Data!$QK$8,Data!$QR$1,IF(O15=Data!$QK$9,Data!$QS$1, IF(O15=Data!$QK$10,Data!$QV$1, IF(O15=Data!$QK$11,Data!$QW$1))))))))))</f>
        <v>0</v>
      </c>
      <c r="BH15" s="33" t="b">
        <f>IF(O15=Data!$QK$2,Data!$QL$17,IF(O15=Data!$QK$3,Data!$QM$17,IF(O15=Data!$QK$4,Data!$QN$17,IF(O15=Data!$QK$5,Data!$QO$17,IF(O15=Data!$QK$6,Data!$QP$17,IF(O15=Data!$QK$7,Data!$QQ$17,IF(O15=Data!$QK$8,Data!$QR$17,IF(O15=Data!$QK$9,Data!$QS$17,IF(O15=Data!$QK$10,Data!$QV$17,IF(O15=Data!$QK$11,Data!$QW$17))))))))))</f>
        <v>0</v>
      </c>
      <c r="BI15" s="33" t="e">
        <f>VLOOKUP(O15,Data!$PU$13:$PV$22,2,FALSE)</f>
        <v>#N/A</v>
      </c>
      <c r="BJ15" s="33" t="e">
        <f>MATCH('Roller Blinds'!D15,Data!$YK$2:$YK$15)</f>
        <v>#N/A</v>
      </c>
      <c r="BK15" s="33" t="e">
        <f>MATCH(L15,Data!$YL$1:$YM$1)</f>
        <v>#N/A</v>
      </c>
      <c r="BL15" s="33" t="e">
        <f>INDEX(Data!$YL$2:$YM$15,BJ15,BK15)</f>
        <v>#N/A</v>
      </c>
    </row>
    <row r="16" spans="1:64" ht="30" customHeight="1" thickTop="1" thickBot="1">
      <c r="A16" s="53">
        <v>9</v>
      </c>
      <c r="B16" s="17"/>
      <c r="C16" s="17"/>
      <c r="D16" s="13"/>
      <c r="E16" s="15"/>
      <c r="F16" s="10"/>
      <c r="G16" s="10"/>
      <c r="H16" s="14"/>
      <c r="I16" s="14"/>
      <c r="J16" s="484"/>
      <c r="K16" s="485"/>
      <c r="L16" s="15"/>
      <c r="M16" s="15"/>
      <c r="N16" s="15"/>
      <c r="O16" s="514"/>
      <c r="P16" s="515"/>
      <c r="Q16" s="13"/>
      <c r="R16" s="13"/>
      <c r="S16" s="13"/>
      <c r="T16" s="13"/>
      <c r="U16" s="13"/>
      <c r="V16" s="13"/>
      <c r="W16" s="13"/>
      <c r="X16" s="15"/>
      <c r="Y16" s="16"/>
      <c r="Z16" s="186"/>
      <c r="AA16" s="236"/>
      <c r="AB16" s="237"/>
      <c r="AC16" s="33" t="e">
        <f t="shared" si="0"/>
        <v>#N/A</v>
      </c>
      <c r="AD16" s="33" t="e">
        <f>VLOOKUP(S16,Data!$QH$2:$QI$4,2,FALSE)</f>
        <v>#N/A</v>
      </c>
      <c r="AF16" s="92" t="e">
        <f t="shared" si="1"/>
        <v>#N/A</v>
      </c>
      <c r="AG16" s="92" t="str">
        <f>IF(COUNTIF(AG8:AG14,Data!KG7),Data!KH7,"")</f>
        <v/>
      </c>
      <c r="AI16" s="92" t="b">
        <f>IF(W16=Data!$KK$2,Data!$KM$1,IF(W16=Data!$KK$3,Data!$KN$1,IF(W16=Data!$KK$4,Data!$KP$1,IF(W16=Data!$KK$5,Data!$KQ$1))))</f>
        <v>0</v>
      </c>
      <c r="AJ16" s="33" t="str">
        <f>IF(D16=Data!$W$10,Data!$QJ$1,Data!$QK$1)</f>
        <v>RollerControl</v>
      </c>
      <c r="AM16" s="33" t="b">
        <f>IF(S16=Data!$PX$2,Data!$PZ$1,IF(S16=Data!$PX$3,Data!$PY$1,IF(S16=Data!$PX$4,Data!$QA$1)))</f>
        <v>0</v>
      </c>
      <c r="AO16" s="33" t="b">
        <f>IF(S16=Data!$PX$3,Data!$QB$1,IF(S16=Data!$PX$2,Data!$QC$1,IF(S16=Data!$PX$4,Data!$QD$1)))</f>
        <v>0</v>
      </c>
      <c r="AQ16" s="33" t="str">
        <f>IF(D16=Data!$W$3,Data!$QF$1,IF(D16=Data!$W$4,Data!$QF$1,IF(D16=Data!$W$5,Data!$QF$1,IF(D16=Data!$W$6,Data!$QF$1,IF(D16=Data!$W$7,Data!$QF$1,IF(D16=Data!$W$8,Data!$QF$1,IF(D16=Data!$W$9,Data!$QF$1,IF(D16=Data!$W$10,Data!$QE$1,IF(D16=Data!$W$11,Data!$QF$1,IF(D16=Data!$W$12,Data!$QF$1,IF(D16=Data!$W$13,Data!$QF$1,IF(D16=Data!$W$14,Data!$QF$1,IF(D16=Data!$W$15,Data!$QF$1,IF(D16=Data!$W$16,Data!$QF$1))))))))))))))</f>
        <v>RollerBracketType2</v>
      </c>
      <c r="BA16" s="40" t="str">
        <f>IF(AND(F16&lt;2130, OR(G16&lt;2100)),Data!$KS$1,Data!$KT$1)</f>
        <v>Small_Tube</v>
      </c>
      <c r="BB16" s="92" t="e">
        <f>MATCH(W16,Data!$LA$1:$LD$1,0)</f>
        <v>#N/A</v>
      </c>
      <c r="BC16" s="92">
        <f>MATCH('Roller Blinds'!BA16,Data!$KZ$2:$KZ$3,0)</f>
        <v>1</v>
      </c>
      <c r="BD16" s="92" t="e">
        <f>INDEX(Data!$LA$2:$LD$3,'Roller Blinds'!BC16,'Roller Blinds'!BB16)</f>
        <v>#N/A</v>
      </c>
      <c r="BG16" s="92" t="b">
        <f>IF(O16=Data!$QK$2,Data!$QL$1,IF(O16=Data!$QK$3,Data!$QM$1,IF(O16=Data!$QK$4,Data!$QN$1,IF(O16=Data!$QK$5,Data!$QO$1,IF(O16=Data!$QK$6,Data!$QP$1,IF(O16=Data!$QK$7,Data!$QQ$1,IF(O16=Data!$QK$8,Data!$QR$1,IF(O16=Data!$QK$9,Data!$QS$1, IF(O16=Data!$QK$10,Data!$QV$1, IF(O16=Data!$QK$11,Data!$QW$1))))))))))</f>
        <v>0</v>
      </c>
      <c r="BH16" s="33" t="b">
        <f>IF(O16=Data!$QK$2,Data!$QL$17,IF(O16=Data!$QK$3,Data!$QM$17,IF(O16=Data!$QK$4,Data!$QN$17,IF(O16=Data!$QK$5,Data!$QO$17,IF(O16=Data!$QK$6,Data!$QP$17,IF(O16=Data!$QK$7,Data!$QQ$17,IF(O16=Data!$QK$8,Data!$QR$17,IF(O16=Data!$QK$9,Data!$QS$17,IF(O16=Data!$QK$10,Data!$QV$17,IF(O16=Data!$QK$11,Data!$QW$17))))))))))</f>
        <v>0</v>
      </c>
      <c r="BI16" s="33" t="e">
        <f>VLOOKUP(O16,Data!$PU$13:$PV$22,2,FALSE)</f>
        <v>#N/A</v>
      </c>
      <c r="BJ16" s="33" t="e">
        <f>MATCH('Roller Blinds'!D16,Data!$YK$2:$YK$15)</f>
        <v>#N/A</v>
      </c>
      <c r="BK16" s="33" t="e">
        <f>MATCH(L16,Data!$YL$1:$YM$1)</f>
        <v>#N/A</v>
      </c>
      <c r="BL16" s="33" t="e">
        <f>INDEX(Data!$YL$2:$YM$15,BJ16,BK16)</f>
        <v>#N/A</v>
      </c>
    </row>
    <row r="17" spans="1:64" ht="30" customHeight="1" thickTop="1" thickBot="1">
      <c r="A17" s="53">
        <v>10</v>
      </c>
      <c r="B17" s="17"/>
      <c r="C17" s="17"/>
      <c r="D17" s="19"/>
      <c r="E17" s="15"/>
      <c r="F17" s="10"/>
      <c r="G17" s="10"/>
      <c r="H17" s="14"/>
      <c r="I17" s="14"/>
      <c r="J17" s="484"/>
      <c r="K17" s="485"/>
      <c r="L17" s="15"/>
      <c r="M17" s="15"/>
      <c r="N17" s="15"/>
      <c r="O17" s="514"/>
      <c r="P17" s="515"/>
      <c r="Q17" s="13"/>
      <c r="R17" s="13"/>
      <c r="S17" s="13"/>
      <c r="T17" s="13"/>
      <c r="U17" s="13"/>
      <c r="V17" s="13"/>
      <c r="W17" s="13"/>
      <c r="X17" s="15"/>
      <c r="Y17" s="16"/>
      <c r="Z17" s="186"/>
      <c r="AA17" s="236"/>
      <c r="AB17" s="237"/>
      <c r="AC17" s="33" t="e">
        <f t="shared" si="0"/>
        <v>#N/A</v>
      </c>
      <c r="AD17" s="33" t="e">
        <f>VLOOKUP(S17,Data!$QH$2:$QI$4,2,FALSE)</f>
        <v>#N/A</v>
      </c>
      <c r="AF17" s="92" t="e">
        <f t="shared" si="1"/>
        <v>#N/A</v>
      </c>
      <c r="AG17" s="92" t="str">
        <f>AG15&amp;" &amp; "&amp;AG16&amp;""</f>
        <v xml:space="preserve"> &amp; </v>
      </c>
      <c r="AI17" s="92" t="b">
        <f>IF(W17=Data!$KK$2,Data!$KM$1,IF(W17=Data!$KK$3,Data!$KN$1,IF(W17=Data!$KK$4,Data!$KP$1,IF(W17=Data!$KK$5,Data!$KQ$1))))</f>
        <v>0</v>
      </c>
      <c r="AJ17" s="33" t="str">
        <f>IF(D17=Data!$W$10,Data!$QJ$1,Data!$QK$1)</f>
        <v>RollerControl</v>
      </c>
      <c r="AM17" s="33" t="b">
        <f>IF(S17=Data!$PX$2,Data!$PZ$1,IF(S17=Data!$PX$3,Data!$PY$1,IF(S17=Data!$PX$4,Data!$QA$1)))</f>
        <v>0</v>
      </c>
      <c r="AO17" s="33" t="b">
        <f>IF(S17=Data!$PX$3,Data!$QB$1,IF(S17=Data!$PX$2,Data!$QC$1,IF(S17=Data!$PX$4,Data!$QD$1)))</f>
        <v>0</v>
      </c>
      <c r="AQ17" s="33" t="str">
        <f>IF(D17=Data!$W$3,Data!$QF$1,IF(D17=Data!$W$4,Data!$QF$1,IF(D17=Data!$W$5,Data!$QF$1,IF(D17=Data!$W$6,Data!$QF$1,IF(D17=Data!$W$7,Data!$QF$1,IF(D17=Data!$W$8,Data!$QF$1,IF(D17=Data!$W$9,Data!$QF$1,IF(D17=Data!$W$10,Data!$QE$1,IF(D17=Data!$W$11,Data!$QF$1,IF(D17=Data!$W$12,Data!$QF$1,IF(D17=Data!$W$13,Data!$QF$1,IF(D17=Data!$W$14,Data!$QF$1,IF(D17=Data!$W$15,Data!$QF$1,IF(D17=Data!$W$16,Data!$QF$1))))))))))))))</f>
        <v>RollerBracketType2</v>
      </c>
      <c r="BA17" s="40" t="str">
        <f>IF(AND(F17&lt;2130, OR(G17&lt;2100)),Data!$KS$1,Data!$KT$1)</f>
        <v>Small_Tube</v>
      </c>
      <c r="BB17" s="92" t="e">
        <f>MATCH(W17,Data!$LA$1:$LD$1,0)</f>
        <v>#N/A</v>
      </c>
      <c r="BC17" s="92">
        <f>MATCH('Roller Blinds'!BA17,Data!$KZ$2:$KZ$3,0)</f>
        <v>1</v>
      </c>
      <c r="BD17" s="92" t="e">
        <f>INDEX(Data!$LA$2:$LD$3,'Roller Blinds'!BC17,'Roller Blinds'!BB17)</f>
        <v>#N/A</v>
      </c>
      <c r="BG17" s="92" t="b">
        <f>IF(O17=Data!$QK$2,Data!$QL$1,IF(O17=Data!$QK$3,Data!$QM$1,IF(O17=Data!$QK$4,Data!$QN$1,IF(O17=Data!$QK$5,Data!$QO$1,IF(O17=Data!$QK$6,Data!$QP$1,IF(O17=Data!$QK$7,Data!$QQ$1,IF(O17=Data!$QK$8,Data!$QR$1,IF(O17=Data!$QK$9,Data!$QS$1, IF(O17=Data!$QK$10,Data!$QV$1, IF(O17=Data!$QK$11,Data!$QW$1))))))))))</f>
        <v>0</v>
      </c>
      <c r="BH17" s="33" t="b">
        <f>IF(O17=Data!$QK$2,Data!$QL$17,IF(O17=Data!$QK$3,Data!$QM$17,IF(O17=Data!$QK$4,Data!$QN$17,IF(O17=Data!$QK$5,Data!$QO$17,IF(O17=Data!$QK$6,Data!$QP$17,IF(O17=Data!$QK$7,Data!$QQ$17,IF(O17=Data!$QK$8,Data!$QR$17,IF(O17=Data!$QK$9,Data!$QS$17,IF(O17=Data!$QK$10,Data!$QV$17,IF(O17=Data!$QK$11,Data!$QW$17))))))))))</f>
        <v>0</v>
      </c>
      <c r="BI17" s="33" t="e">
        <f>VLOOKUP(O17,Data!$PU$13:$PV$22,2,FALSE)</f>
        <v>#N/A</v>
      </c>
      <c r="BJ17" s="33" t="e">
        <f>MATCH('Roller Blinds'!D17,Data!$YK$2:$YK$15)</f>
        <v>#N/A</v>
      </c>
      <c r="BK17" s="33" t="e">
        <f>MATCH(L17,Data!$YL$1:$YM$1)</f>
        <v>#N/A</v>
      </c>
      <c r="BL17" s="33" t="e">
        <f>INDEX(Data!$YL$2:$YM$15,BJ17,BK17)</f>
        <v>#N/A</v>
      </c>
    </row>
    <row r="18" spans="1:64" ht="30" customHeight="1" thickTop="1" thickBot="1">
      <c r="A18" s="53">
        <v>11</v>
      </c>
      <c r="B18" s="17"/>
      <c r="C18" s="17"/>
      <c r="D18" s="13"/>
      <c r="E18" s="15"/>
      <c r="F18" s="10"/>
      <c r="G18" s="10"/>
      <c r="H18" s="14"/>
      <c r="I18" s="14"/>
      <c r="J18" s="484"/>
      <c r="K18" s="485"/>
      <c r="L18" s="15"/>
      <c r="M18" s="15"/>
      <c r="N18" s="15"/>
      <c r="O18" s="514"/>
      <c r="P18" s="515"/>
      <c r="Q18" s="13"/>
      <c r="R18" s="13"/>
      <c r="S18" s="13"/>
      <c r="T18" s="13"/>
      <c r="U18" s="13"/>
      <c r="V18" s="13"/>
      <c r="W18" s="13"/>
      <c r="X18" s="15"/>
      <c r="Y18" s="16"/>
      <c r="Z18" s="186"/>
      <c r="AA18" s="236"/>
      <c r="AB18" s="237"/>
      <c r="AC18" s="33" t="e">
        <f t="shared" si="0"/>
        <v>#N/A</v>
      </c>
      <c r="AD18" s="33" t="e">
        <f>VLOOKUP(S18,Data!$QH$2:$QI$4,2,FALSE)</f>
        <v>#N/A</v>
      </c>
      <c r="AF18" s="92" t="e">
        <f t="shared" si="1"/>
        <v>#N/A</v>
      </c>
      <c r="AG18" s="92" t="str">
        <f>IF(AG17="Corner &amp; Bay","Corner &amp; Bay Window Diagram Must Be Supplied",IF(AG15="Corner","Corner Window Diagram Must Be Supplied",IF(AG16="Bay","Bay Window Diagram Must Be Supplied","")))</f>
        <v/>
      </c>
      <c r="AI18" s="92" t="b">
        <f>IF(W18=Data!$KK$2,Data!$KM$1,IF(W18=Data!$KK$3,Data!$KN$1,IF(W18=Data!$KK$4,Data!$KP$1,IF(W18=Data!$KK$5,Data!$KQ$1))))</f>
        <v>0</v>
      </c>
      <c r="AJ18" s="33" t="str">
        <f>IF(D18=Data!$W$10,Data!$QJ$1,Data!$QK$1)</f>
        <v>RollerControl</v>
      </c>
      <c r="AM18" s="33" t="b">
        <f>IF(S18=Data!$PX$2,Data!$PZ$1,IF(S18=Data!$PX$3,Data!$PY$1,IF(S18=Data!$PX$4,Data!$QA$1)))</f>
        <v>0</v>
      </c>
      <c r="AO18" s="33" t="b">
        <f>IF(S18=Data!$PX$3,Data!$QB$1,IF(S18=Data!$PX$2,Data!$QC$1,IF(S18=Data!$PX$4,Data!$QD$1)))</f>
        <v>0</v>
      </c>
      <c r="AQ18" s="33" t="str">
        <f>IF(D18=Data!$W$3,Data!$QF$1,IF(D18=Data!$W$4,Data!$QF$1,IF(D18=Data!$W$5,Data!$QF$1,IF(D18=Data!$W$6,Data!$QF$1,IF(D18=Data!$W$7,Data!$QF$1,IF(D18=Data!$W$8,Data!$QF$1,IF(D18=Data!$W$9,Data!$QF$1,IF(D18=Data!$W$10,Data!$QE$1,IF(D18=Data!$W$11,Data!$QF$1,IF(D18=Data!$W$12,Data!$QF$1,IF(D18=Data!$W$13,Data!$QF$1,IF(D18=Data!$W$14,Data!$QF$1,IF(D18=Data!$W$15,Data!$QF$1,IF(D18=Data!$W$16,Data!$QF$1))))))))))))))</f>
        <v>RollerBracketType2</v>
      </c>
      <c r="BA18" s="40" t="str">
        <f>IF(AND(F18&lt;2130, OR(G18&lt;2100)),Data!$KS$1,Data!$KT$1)</f>
        <v>Small_Tube</v>
      </c>
      <c r="BB18" s="92" t="e">
        <f>MATCH(W18,Data!$LA$1:$LD$1,0)</f>
        <v>#N/A</v>
      </c>
      <c r="BC18" s="92">
        <f>MATCH('Roller Blinds'!BA18,Data!$KZ$2:$KZ$3,0)</f>
        <v>1</v>
      </c>
      <c r="BD18" s="92" t="e">
        <f>INDEX(Data!$LA$2:$LD$3,'Roller Blinds'!BC18,'Roller Blinds'!BB18)</f>
        <v>#N/A</v>
      </c>
      <c r="BG18" s="92" t="b">
        <f>IF(O18=Data!$QK$2,Data!$QL$1,IF(O18=Data!$QK$3,Data!$QM$1,IF(O18=Data!$QK$4,Data!$QN$1,IF(O18=Data!$QK$5,Data!$QO$1,IF(O18=Data!$QK$6,Data!$QP$1,IF(O18=Data!$QK$7,Data!$QQ$1,IF(O18=Data!$QK$8,Data!$QR$1,IF(O18=Data!$QK$9,Data!$QS$1, IF(O18=Data!$QK$10,Data!$QV$1, IF(O18=Data!$QK$11,Data!$QW$1))))))))))</f>
        <v>0</v>
      </c>
      <c r="BH18" s="33" t="b">
        <f>IF(O18=Data!$QK$2,Data!$QL$17,IF(O18=Data!$QK$3,Data!$QM$17,IF(O18=Data!$QK$4,Data!$QN$17,IF(O18=Data!$QK$5,Data!$QO$17,IF(O18=Data!$QK$6,Data!$QP$17,IF(O18=Data!$QK$7,Data!$QQ$17,IF(O18=Data!$QK$8,Data!$QR$17,IF(O18=Data!$QK$9,Data!$QS$17,IF(O18=Data!$QK$10,Data!$QV$17,IF(O18=Data!$QK$11,Data!$QW$17))))))))))</f>
        <v>0</v>
      </c>
      <c r="BI18" s="33" t="e">
        <f>VLOOKUP(O18,Data!$PU$13:$PV$22,2,FALSE)</f>
        <v>#N/A</v>
      </c>
      <c r="BJ18" s="33" t="e">
        <f>MATCH('Roller Blinds'!D18,Data!$YK$2:$YK$15)</f>
        <v>#N/A</v>
      </c>
      <c r="BK18" s="33" t="e">
        <f>MATCH(L18,Data!$YL$1:$YM$1)</f>
        <v>#N/A</v>
      </c>
      <c r="BL18" s="33" t="e">
        <f>INDEX(Data!$YL$2:$YM$15,BJ18,BK18)</f>
        <v>#N/A</v>
      </c>
    </row>
    <row r="19" spans="1:64" ht="30" customHeight="1" thickTop="1" thickBot="1">
      <c r="A19" s="53">
        <v>12</v>
      </c>
      <c r="B19" s="17"/>
      <c r="C19" s="17"/>
      <c r="D19" s="13"/>
      <c r="E19" s="15"/>
      <c r="F19" s="10"/>
      <c r="G19" s="10"/>
      <c r="H19" s="14"/>
      <c r="I19" s="14"/>
      <c r="J19" s="484"/>
      <c r="K19" s="485"/>
      <c r="L19" s="15"/>
      <c r="M19" s="15"/>
      <c r="N19" s="15"/>
      <c r="O19" s="514"/>
      <c r="P19" s="515"/>
      <c r="Q19" s="13"/>
      <c r="R19" s="13"/>
      <c r="S19" s="13"/>
      <c r="T19" s="13"/>
      <c r="U19" s="13"/>
      <c r="V19" s="13"/>
      <c r="W19" s="13"/>
      <c r="X19" s="15"/>
      <c r="Y19" s="16"/>
      <c r="Z19" s="186"/>
      <c r="AA19" s="236"/>
      <c r="AB19" s="237"/>
      <c r="AC19" s="33" t="e">
        <f t="shared" si="0"/>
        <v>#N/A</v>
      </c>
      <c r="AD19" s="33" t="e">
        <f>VLOOKUP(S19,Data!$QH$2:$QI$4,2,FALSE)</f>
        <v>#N/A</v>
      </c>
      <c r="AF19" s="92" t="e">
        <f t="shared" si="1"/>
        <v>#N/A</v>
      </c>
      <c r="AI19" s="92" t="b">
        <f>IF(W19=Data!$KK$2,Data!$KM$1,IF(W19=Data!$KK$3,Data!$KN$1,IF(W19=Data!$KK$4,Data!$KP$1,IF(W19=Data!$KK$5,Data!$KQ$1))))</f>
        <v>0</v>
      </c>
      <c r="AJ19" s="33" t="str">
        <f>IF(D19=Data!$W$10,Data!$QJ$1,Data!$QK$1)</f>
        <v>RollerControl</v>
      </c>
      <c r="AM19" s="33" t="b">
        <f>IF(S19=Data!$PX$2,Data!$PZ$1,IF(S19=Data!$PX$3,Data!$PY$1,IF(S19=Data!$PX$4,Data!$QA$1)))</f>
        <v>0</v>
      </c>
      <c r="AO19" s="33" t="b">
        <f>IF(S19=Data!$PX$3,Data!$QB$1,IF(S19=Data!$PX$2,Data!$QC$1,IF(S19=Data!$PX$4,Data!$QD$1)))</f>
        <v>0</v>
      </c>
      <c r="AQ19" s="33" t="str">
        <f>IF(D19=Data!$W$3,Data!$QF$1,IF(D19=Data!$W$4,Data!$QF$1,IF(D19=Data!$W$5,Data!$QF$1,IF(D19=Data!$W$6,Data!$QF$1,IF(D19=Data!$W$7,Data!$QF$1,IF(D19=Data!$W$8,Data!$QF$1,IF(D19=Data!$W$9,Data!$QF$1,IF(D19=Data!$W$10,Data!$QE$1,IF(D19=Data!$W$11,Data!$QF$1,IF(D19=Data!$W$12,Data!$QF$1,IF(D19=Data!$W$13,Data!$QF$1,IF(D19=Data!$W$14,Data!$QF$1,IF(D19=Data!$W$15,Data!$QF$1,IF(D19=Data!$W$16,Data!$QF$1))))))))))))))</f>
        <v>RollerBracketType2</v>
      </c>
      <c r="BA19" s="40" t="str">
        <f>IF(AND(F19&lt;2130, OR(G19&lt;2100)),Data!$KS$1,Data!$KT$1)</f>
        <v>Small_Tube</v>
      </c>
      <c r="BB19" s="92" t="e">
        <f>MATCH(W19,Data!$LA$1:$LD$1,0)</f>
        <v>#N/A</v>
      </c>
      <c r="BC19" s="92">
        <f>MATCH('Roller Blinds'!BA19,Data!$KZ$2:$KZ$3,0)</f>
        <v>1</v>
      </c>
      <c r="BD19" s="92" t="e">
        <f>INDEX(Data!$LA$2:$LD$3,'Roller Blinds'!BC19,'Roller Blinds'!BB19)</f>
        <v>#N/A</v>
      </c>
      <c r="BG19" s="92" t="b">
        <f>IF(O19=Data!$QK$2,Data!$QL$1,IF(O19=Data!$QK$3,Data!$QM$1,IF(O19=Data!$QK$4,Data!$QN$1,IF(O19=Data!$QK$5,Data!$QO$1,IF(O19=Data!$QK$6,Data!$QP$1,IF(O19=Data!$QK$7,Data!$QQ$1,IF(O19=Data!$QK$8,Data!$QR$1,IF(O19=Data!$QK$9,Data!$QS$1, IF(O19=Data!$QK$10,Data!$QV$1, IF(O19=Data!$QK$11,Data!$QW$1))))))))))</f>
        <v>0</v>
      </c>
      <c r="BH19" s="33" t="b">
        <f>IF(O19=Data!$QK$2,Data!$QL$17,IF(O19=Data!$QK$3,Data!$QM$17,IF(O19=Data!$QK$4,Data!$QN$17,IF(O19=Data!$QK$5,Data!$QO$17,IF(O19=Data!$QK$6,Data!$QP$17,IF(O19=Data!$QK$7,Data!$QQ$17,IF(O19=Data!$QK$8,Data!$QR$17,IF(O19=Data!$QK$9,Data!$QS$17,IF(O19=Data!$QK$10,Data!$QV$17,IF(O19=Data!$QK$11,Data!$QW$17))))))))))</f>
        <v>0</v>
      </c>
      <c r="BI19" s="33" t="e">
        <f>VLOOKUP(O19,Data!$PU$13:$PV$22,2,FALSE)</f>
        <v>#N/A</v>
      </c>
      <c r="BJ19" s="33" t="e">
        <f>MATCH('Roller Blinds'!D19,Data!$YK$2:$YK$15)</f>
        <v>#N/A</v>
      </c>
      <c r="BK19" s="33" t="e">
        <f>MATCH(L19,Data!$YL$1:$YM$1)</f>
        <v>#N/A</v>
      </c>
      <c r="BL19" s="33" t="e">
        <f>INDEX(Data!$YL$2:$YM$15,BJ19,BK19)</f>
        <v>#N/A</v>
      </c>
    </row>
    <row r="20" spans="1:64" ht="30" customHeight="1" thickTop="1" thickBot="1">
      <c r="A20" s="53">
        <v>13</v>
      </c>
      <c r="B20" s="17"/>
      <c r="C20" s="17"/>
      <c r="D20" s="13"/>
      <c r="E20" s="15"/>
      <c r="F20" s="10"/>
      <c r="G20" s="10"/>
      <c r="H20" s="14"/>
      <c r="I20" s="14"/>
      <c r="J20" s="484"/>
      <c r="K20" s="485"/>
      <c r="L20" s="15"/>
      <c r="M20" s="15"/>
      <c r="N20" s="15"/>
      <c r="O20" s="514"/>
      <c r="P20" s="515"/>
      <c r="Q20" s="13"/>
      <c r="R20" s="13"/>
      <c r="S20" s="13"/>
      <c r="T20" s="13"/>
      <c r="U20" s="13"/>
      <c r="V20" s="13"/>
      <c r="W20" s="13"/>
      <c r="X20" s="15"/>
      <c r="Y20" s="16"/>
      <c r="Z20" s="186"/>
      <c r="AA20" s="236"/>
      <c r="AB20" s="237"/>
      <c r="AC20" s="33" t="e">
        <f t="shared" si="0"/>
        <v>#N/A</v>
      </c>
      <c r="AD20" s="33" t="e">
        <f>VLOOKUP(S20,Data!$QH$2:$QI$4,2,FALSE)</f>
        <v>#N/A</v>
      </c>
      <c r="AF20" s="92" t="e">
        <f t="shared" si="1"/>
        <v>#N/A</v>
      </c>
      <c r="AI20" s="92" t="b">
        <f>IF(W20=Data!$KK$2,Data!$KM$1,IF(W20=Data!$KK$3,Data!$KN$1,IF(W20=Data!$KK$4,Data!$KP$1,IF(W20=Data!$KK$5,Data!$KQ$1))))</f>
        <v>0</v>
      </c>
      <c r="AJ20" s="33" t="str">
        <f>IF(D20=Data!$W$10,Data!$QJ$1,Data!$QK$1)</f>
        <v>RollerControl</v>
      </c>
      <c r="AM20" s="33" t="b">
        <f>IF(S20=Data!$PX$2,Data!$PZ$1,IF(S20=Data!$PX$3,Data!$PY$1,IF(S20=Data!$PX$4,Data!$QA$1)))</f>
        <v>0</v>
      </c>
      <c r="AO20" s="33" t="b">
        <f>IF(S20=Data!$PX$3,Data!$QB$1,IF(S20=Data!$PX$2,Data!$QC$1,IF(S20=Data!$PX$4,Data!$QD$1)))</f>
        <v>0</v>
      </c>
      <c r="AQ20" s="33" t="str">
        <f>IF(D20=Data!$W$3,Data!$QF$1,IF(D20=Data!$W$4,Data!$QF$1,IF(D20=Data!$W$5,Data!$QF$1,IF(D20=Data!$W$6,Data!$QF$1,IF(D20=Data!$W$7,Data!$QF$1,IF(D20=Data!$W$8,Data!$QF$1,IF(D20=Data!$W$9,Data!$QF$1,IF(D20=Data!$W$10,Data!$QE$1,IF(D20=Data!$W$11,Data!$QF$1,IF(D20=Data!$W$12,Data!$QF$1,IF(D20=Data!$W$13,Data!$QF$1,IF(D20=Data!$W$14,Data!$QF$1,IF(D20=Data!$W$15,Data!$QF$1,IF(D20=Data!$W$16,Data!$QF$1))))))))))))))</f>
        <v>RollerBracketType2</v>
      </c>
      <c r="BA20" s="40" t="str">
        <f>IF(AND(F20&lt;2130, OR(G20&lt;2100)),Data!$KS$1,Data!$KT$1)</f>
        <v>Small_Tube</v>
      </c>
      <c r="BB20" s="92" t="e">
        <f>MATCH(W20,Data!$LA$1:$LD$1,0)</f>
        <v>#N/A</v>
      </c>
      <c r="BC20" s="92">
        <f>MATCH('Roller Blinds'!BA20,Data!$KZ$2:$KZ$3,0)</f>
        <v>1</v>
      </c>
      <c r="BD20" s="92" t="e">
        <f>INDEX(Data!$LA$2:$LD$3,'Roller Blinds'!BC20,'Roller Blinds'!BB20)</f>
        <v>#N/A</v>
      </c>
      <c r="BG20" s="92" t="b">
        <f>IF(O20=Data!$QK$2,Data!$QL$1,IF(O20=Data!$QK$3,Data!$QM$1,IF(O20=Data!$QK$4,Data!$QN$1,IF(O20=Data!$QK$5,Data!$QO$1,IF(O20=Data!$QK$6,Data!$QP$1,IF(O20=Data!$QK$7,Data!$QQ$1,IF(O20=Data!$QK$8,Data!$QR$1,IF(O20=Data!$QK$9,Data!$QS$1, IF(O20=Data!$QK$10,Data!$QV$1, IF(O20=Data!$QK$11,Data!$QW$1))))))))))</f>
        <v>0</v>
      </c>
      <c r="BH20" s="33" t="b">
        <f>IF(O20=Data!$QK$2,Data!$QL$17,IF(O20=Data!$QK$3,Data!$QM$17,IF(O20=Data!$QK$4,Data!$QN$17,IF(O20=Data!$QK$5,Data!$QO$17,IF(O20=Data!$QK$6,Data!$QP$17,IF(O20=Data!$QK$7,Data!$QQ$17,IF(O20=Data!$QK$8,Data!$QR$17,IF(O20=Data!$QK$9,Data!$QS$17,IF(O20=Data!$QK$10,Data!$QV$17,IF(O20=Data!$QK$11,Data!$QW$17))))))))))</f>
        <v>0</v>
      </c>
      <c r="BI20" s="33" t="e">
        <f>VLOOKUP(O20,Data!$PU$13:$PV$22,2,FALSE)</f>
        <v>#N/A</v>
      </c>
      <c r="BJ20" s="33" t="e">
        <f>MATCH('Roller Blinds'!D20,Data!$YK$2:$YK$15)</f>
        <v>#N/A</v>
      </c>
      <c r="BK20" s="33" t="e">
        <f>MATCH(L20,Data!$YL$1:$YM$1)</f>
        <v>#N/A</v>
      </c>
      <c r="BL20" s="33" t="e">
        <f>INDEX(Data!$YL$2:$YM$15,BJ20,BK20)</f>
        <v>#N/A</v>
      </c>
    </row>
    <row r="21" spans="1:64" ht="30" customHeight="1" thickTop="1" thickBot="1">
      <c r="A21" s="53">
        <v>14</v>
      </c>
      <c r="B21" s="17"/>
      <c r="C21" s="17"/>
      <c r="D21" s="13"/>
      <c r="E21" s="15"/>
      <c r="F21" s="10"/>
      <c r="G21" s="10"/>
      <c r="H21" s="14"/>
      <c r="I21" s="14"/>
      <c r="J21" s="484"/>
      <c r="K21" s="485"/>
      <c r="L21" s="15"/>
      <c r="M21" s="15"/>
      <c r="N21" s="15"/>
      <c r="O21" s="514"/>
      <c r="P21" s="515"/>
      <c r="Q21" s="13"/>
      <c r="R21" s="13"/>
      <c r="S21" s="13"/>
      <c r="T21" s="13"/>
      <c r="U21" s="13"/>
      <c r="V21" s="13"/>
      <c r="W21" s="13"/>
      <c r="X21" s="15"/>
      <c r="Y21" s="16"/>
      <c r="Z21" s="186"/>
      <c r="AA21" s="236"/>
      <c r="AB21" s="237"/>
      <c r="AC21" s="33" t="e">
        <f t="shared" si="0"/>
        <v>#N/A</v>
      </c>
      <c r="AD21" s="33" t="e">
        <f>VLOOKUP(S21,Data!$QH$2:$QI$4,2,FALSE)</f>
        <v>#N/A</v>
      </c>
      <c r="AF21" s="92" t="e">
        <f t="shared" si="1"/>
        <v>#N/A</v>
      </c>
      <c r="AI21" s="92" t="b">
        <f>IF(W21=Data!$KK$2,Data!$KM$1,IF(W21=Data!$KK$3,Data!$KN$1,IF(W21=Data!$KK$4,Data!$KP$1,IF(W21=Data!$KK$5,Data!$KQ$1))))</f>
        <v>0</v>
      </c>
      <c r="AJ21" s="33" t="str">
        <f>IF(D21=Data!$W$10,Data!$QJ$1,Data!$QK$1)</f>
        <v>RollerControl</v>
      </c>
      <c r="AM21" s="33" t="b">
        <f>IF(S21=Data!$PX$2,Data!$PZ$1,IF(S21=Data!$PX$3,Data!$PY$1,IF(S21=Data!$PX$4,Data!$QA$1)))</f>
        <v>0</v>
      </c>
      <c r="AO21" s="33" t="b">
        <f>IF(S21=Data!$PX$3,Data!$QB$1,IF(S21=Data!$PX$2,Data!$QC$1,IF(S21=Data!$PX$4,Data!$QD$1)))</f>
        <v>0</v>
      </c>
      <c r="AQ21" s="33" t="str">
        <f>IF(D21=Data!$W$3,Data!$QF$1,IF(D21=Data!$W$4,Data!$QF$1,IF(D21=Data!$W$5,Data!$QF$1,IF(D21=Data!$W$6,Data!$QF$1,IF(D21=Data!$W$7,Data!$QF$1,IF(D21=Data!$W$8,Data!$QF$1,IF(D21=Data!$W$9,Data!$QF$1,IF(D21=Data!$W$10,Data!$QE$1,IF(D21=Data!$W$11,Data!$QF$1,IF(D21=Data!$W$12,Data!$QF$1,IF(D21=Data!$W$13,Data!$QF$1,IF(D21=Data!$W$14,Data!$QF$1,IF(D21=Data!$W$15,Data!$QF$1,IF(D21=Data!$W$16,Data!$QF$1))))))))))))))</f>
        <v>RollerBracketType2</v>
      </c>
      <c r="BA21" s="40" t="str">
        <f>IF(AND(F21&lt;2130, OR(G21&lt;2100)),Data!$KS$1,Data!$KT$1)</f>
        <v>Small_Tube</v>
      </c>
      <c r="BB21" s="92" t="e">
        <f>MATCH(W21,Data!$LA$1:$LD$1,0)</f>
        <v>#N/A</v>
      </c>
      <c r="BC21" s="92">
        <f>MATCH('Roller Blinds'!BA21,Data!$KZ$2:$KZ$3,0)</f>
        <v>1</v>
      </c>
      <c r="BD21" s="92" t="e">
        <f>INDEX(Data!$LA$2:$LD$3,'Roller Blinds'!BC21,'Roller Blinds'!BB21)</f>
        <v>#N/A</v>
      </c>
      <c r="BG21" s="92" t="b">
        <f>IF(O21=Data!$QK$2,Data!$QL$1,IF(O21=Data!$QK$3,Data!$QM$1,IF(O21=Data!$QK$4,Data!$QN$1,IF(O21=Data!$QK$5,Data!$QO$1,IF(O21=Data!$QK$6,Data!$QP$1,IF(O21=Data!$QK$7,Data!$QQ$1,IF(O21=Data!$QK$8,Data!$QR$1,IF(O21=Data!$QK$9,Data!$QS$1, IF(O21=Data!$QK$10,Data!$QV$1, IF(O21=Data!$QK$11,Data!$QW$1))))))))))</f>
        <v>0</v>
      </c>
      <c r="BH21" s="33" t="b">
        <f>IF(O21=Data!$QK$2,Data!$QL$17,IF(O21=Data!$QK$3,Data!$QM$17,IF(O21=Data!$QK$4,Data!$QN$17,IF(O21=Data!$QK$5,Data!$QO$17,IF(O21=Data!$QK$6,Data!$QP$17,IF(O21=Data!$QK$7,Data!$QQ$17,IF(O21=Data!$QK$8,Data!$QR$17,IF(O21=Data!$QK$9,Data!$QS$17,IF(O21=Data!$QK$10,Data!$QV$17,IF(O21=Data!$QK$11,Data!$QW$17))))))))))</f>
        <v>0</v>
      </c>
      <c r="BI21" s="33" t="e">
        <f>VLOOKUP(O21,Data!$PU$13:$PV$22,2,FALSE)</f>
        <v>#N/A</v>
      </c>
      <c r="BJ21" s="33" t="e">
        <f>MATCH('Roller Blinds'!D21,Data!$YK$2:$YK$15)</f>
        <v>#N/A</v>
      </c>
      <c r="BK21" s="33" t="e">
        <f>MATCH(L21,Data!$YL$1:$YM$1)</f>
        <v>#N/A</v>
      </c>
      <c r="BL21" s="33" t="e">
        <f>INDEX(Data!$YL$2:$YM$15,BJ21,BK21)</f>
        <v>#N/A</v>
      </c>
    </row>
    <row r="22" spans="1:64" ht="30" customHeight="1" thickTop="1" thickBot="1">
      <c r="A22" s="53">
        <v>15</v>
      </c>
      <c r="B22" s="17"/>
      <c r="C22" s="17"/>
      <c r="D22" s="13"/>
      <c r="E22" s="15"/>
      <c r="F22" s="10"/>
      <c r="G22" s="10"/>
      <c r="H22" s="14"/>
      <c r="I22" s="14"/>
      <c r="J22" s="484"/>
      <c r="K22" s="485"/>
      <c r="L22" s="15"/>
      <c r="M22" s="15"/>
      <c r="N22" s="15"/>
      <c r="O22" s="514"/>
      <c r="P22" s="515"/>
      <c r="Q22" s="13"/>
      <c r="R22" s="13"/>
      <c r="S22" s="13"/>
      <c r="T22" s="13"/>
      <c r="U22" s="13"/>
      <c r="V22" s="13"/>
      <c r="W22" s="13"/>
      <c r="X22" s="15"/>
      <c r="Y22" s="16"/>
      <c r="Z22" s="186"/>
      <c r="AA22" s="236"/>
      <c r="AB22" s="237"/>
      <c r="AC22" s="33" t="e">
        <f t="shared" si="0"/>
        <v>#N/A</v>
      </c>
      <c r="AD22" s="33" t="e">
        <f>VLOOKUP(S22,Data!$QH$2:$QI$4,2,FALSE)</f>
        <v>#N/A</v>
      </c>
      <c r="AF22" s="92" t="e">
        <f t="shared" si="1"/>
        <v>#N/A</v>
      </c>
      <c r="AI22" s="92" t="b">
        <f>IF(W22=Data!$KK$2,Data!$KM$1,IF(W22=Data!$KK$3,Data!$KN$1,IF(W22=Data!$KK$4,Data!$KP$1,IF(W22=Data!$KK$5,Data!$KQ$1))))</f>
        <v>0</v>
      </c>
      <c r="AJ22" s="33" t="str">
        <f>IF(D22=Data!$W$10,Data!$QJ$1,Data!$QK$1)</f>
        <v>RollerControl</v>
      </c>
      <c r="AM22" s="33" t="b">
        <f>IF(S22=Data!$PX$2,Data!$PZ$1,IF(S22=Data!$PX$3,Data!$PY$1,IF(S22=Data!$PX$4,Data!$QA$1)))</f>
        <v>0</v>
      </c>
      <c r="AO22" s="33" t="b">
        <f>IF(S22=Data!$PX$3,Data!$QB$1,IF(S22=Data!$PX$2,Data!$QC$1,IF(S22=Data!$PX$4,Data!$QD$1)))</f>
        <v>0</v>
      </c>
      <c r="AQ22" s="33" t="str">
        <f>IF(D22=Data!$W$3,Data!$QF$1,IF(D22=Data!$W$4,Data!$QF$1,IF(D22=Data!$W$5,Data!$QF$1,IF(D22=Data!$W$6,Data!$QF$1,IF(D22=Data!$W$7,Data!$QF$1,IF(D22=Data!$W$8,Data!$QF$1,IF(D22=Data!$W$9,Data!$QF$1,IF(D22=Data!$W$10,Data!$QE$1,IF(D22=Data!$W$11,Data!$QF$1,IF(D22=Data!$W$12,Data!$QF$1,IF(D22=Data!$W$13,Data!$QF$1,IF(D22=Data!$W$14,Data!$QF$1,IF(D22=Data!$W$15,Data!$QF$1,IF(D22=Data!$W$16,Data!$QF$1))))))))))))))</f>
        <v>RollerBracketType2</v>
      </c>
      <c r="BA22" s="40" t="str">
        <f>IF(AND(F22&lt;2130, OR(G22&lt;2100)),Data!$KS$1,Data!$KT$1)</f>
        <v>Small_Tube</v>
      </c>
      <c r="BB22" s="92" t="e">
        <f>MATCH(W22,Data!$LA$1:$LD$1,0)</f>
        <v>#N/A</v>
      </c>
      <c r="BC22" s="92">
        <f>MATCH('Roller Blinds'!BA22,Data!$KZ$2:$KZ$3,0)</f>
        <v>1</v>
      </c>
      <c r="BD22" s="92" t="e">
        <f>INDEX(Data!$LA$2:$LD$3,'Roller Blinds'!BC22,'Roller Blinds'!BB22)</f>
        <v>#N/A</v>
      </c>
      <c r="BG22" s="92" t="b">
        <f>IF(O22=Data!$QK$2,Data!$QL$1,IF(O22=Data!$QK$3,Data!$QM$1,IF(O22=Data!$QK$4,Data!$QN$1,IF(O22=Data!$QK$5,Data!$QO$1,IF(O22=Data!$QK$6,Data!$QP$1,IF(O22=Data!$QK$7,Data!$QQ$1,IF(O22=Data!$QK$8,Data!$QR$1,IF(O22=Data!$QK$9,Data!$QS$1, IF(O22=Data!$QK$10,Data!$QV$1, IF(O22=Data!$QK$11,Data!$QW$1))))))))))</f>
        <v>0</v>
      </c>
      <c r="BH22" s="33" t="b">
        <f>IF(O22=Data!$QK$2,Data!$QL$17,IF(O22=Data!$QK$3,Data!$QM$17,IF(O22=Data!$QK$4,Data!$QN$17,IF(O22=Data!$QK$5,Data!$QO$17,IF(O22=Data!$QK$6,Data!$QP$17,IF(O22=Data!$QK$7,Data!$QQ$17,IF(O22=Data!$QK$8,Data!$QR$17,IF(O22=Data!$QK$9,Data!$QS$17,IF(O22=Data!$QK$10,Data!$QV$17,IF(O22=Data!$QK$11,Data!$QW$17))))))))))</f>
        <v>0</v>
      </c>
      <c r="BI22" s="33" t="e">
        <f>VLOOKUP(O22,Data!$PU$13:$PV$22,2,FALSE)</f>
        <v>#N/A</v>
      </c>
      <c r="BJ22" s="33" t="e">
        <f>MATCH('Roller Blinds'!D22,Data!$YK$2:$YK$15)</f>
        <v>#N/A</v>
      </c>
      <c r="BK22" s="33" t="e">
        <f>MATCH(L22,Data!$YL$1:$YM$1)</f>
        <v>#N/A</v>
      </c>
      <c r="BL22" s="33" t="e">
        <f>INDEX(Data!$YL$2:$YM$15,BJ22,BK22)</f>
        <v>#N/A</v>
      </c>
    </row>
    <row r="23" spans="1:64" ht="30" customHeight="1" thickTop="1" thickBot="1">
      <c r="A23" s="53">
        <v>16</v>
      </c>
      <c r="B23" s="17"/>
      <c r="C23" s="17"/>
      <c r="D23" s="13"/>
      <c r="E23" s="15"/>
      <c r="F23" s="10"/>
      <c r="G23" s="10"/>
      <c r="H23" s="14"/>
      <c r="I23" s="14"/>
      <c r="J23" s="484"/>
      <c r="K23" s="485"/>
      <c r="L23" s="15"/>
      <c r="M23" s="15"/>
      <c r="N23" s="15"/>
      <c r="O23" s="514"/>
      <c r="P23" s="515"/>
      <c r="Q23" s="13"/>
      <c r="R23" s="13"/>
      <c r="S23" s="13"/>
      <c r="T23" s="13"/>
      <c r="U23" s="13"/>
      <c r="V23" s="13"/>
      <c r="W23" s="13"/>
      <c r="X23" s="15"/>
      <c r="Y23" s="16"/>
      <c r="Z23" s="186"/>
      <c r="AA23" s="236"/>
      <c r="AB23" s="237"/>
      <c r="AC23" s="33" t="e">
        <f t="shared" si="0"/>
        <v>#N/A</v>
      </c>
      <c r="AD23" s="33" t="e">
        <f>VLOOKUP(S23,Data!$QH$2:$QI$4,2,FALSE)</f>
        <v>#N/A</v>
      </c>
      <c r="AF23" s="92" t="e">
        <f t="shared" si="1"/>
        <v>#N/A</v>
      </c>
      <c r="AI23" s="92" t="b">
        <f>IF(W23=Data!$KK$2,Data!$KM$1,IF(W23=Data!$KK$3,Data!$KN$1,IF(W23=Data!$KK$4,Data!$KP$1,IF(W23=Data!$KK$5,Data!$KQ$1))))</f>
        <v>0</v>
      </c>
      <c r="AJ23" s="33" t="str">
        <f>IF(D23=Data!$W$10,Data!$QJ$1,Data!$QK$1)</f>
        <v>RollerControl</v>
      </c>
      <c r="AM23" s="33" t="b">
        <f>IF(S23=Data!$PX$2,Data!$PZ$1,IF(S23=Data!$PX$3,Data!$PY$1,IF(S23=Data!$PX$4,Data!$QA$1)))</f>
        <v>0</v>
      </c>
      <c r="AO23" s="33" t="b">
        <f>IF(S23=Data!$PX$3,Data!$QB$1,IF(S23=Data!$PX$2,Data!$QC$1,IF(S23=Data!$PX$4,Data!$QD$1)))</f>
        <v>0</v>
      </c>
      <c r="AQ23" s="33" t="str">
        <f>IF(D23=Data!$W$3,Data!$QF$1,IF(D23=Data!$W$4,Data!$QF$1,IF(D23=Data!$W$5,Data!$QF$1,IF(D23=Data!$W$6,Data!$QF$1,IF(D23=Data!$W$7,Data!$QF$1,IF(D23=Data!$W$8,Data!$QF$1,IF(D23=Data!$W$9,Data!$QF$1,IF(D23=Data!$W$10,Data!$QE$1,IF(D23=Data!$W$11,Data!$QF$1,IF(D23=Data!$W$12,Data!$QF$1,IF(D23=Data!$W$13,Data!$QF$1,IF(D23=Data!$W$14,Data!$QF$1,IF(D23=Data!$W$15,Data!$QF$1,IF(D23=Data!$W$16,Data!$QF$1))))))))))))))</f>
        <v>RollerBracketType2</v>
      </c>
      <c r="BA23" s="40" t="str">
        <f>IF(AND(F23&lt;2130, OR(G23&lt;2100)),Data!$KS$1,Data!$KT$1)</f>
        <v>Small_Tube</v>
      </c>
      <c r="BB23" s="92" t="e">
        <f>MATCH(W23,Data!$LA$1:$LD$1,0)</f>
        <v>#N/A</v>
      </c>
      <c r="BC23" s="92">
        <f>MATCH('Roller Blinds'!BA23,Data!$KZ$2:$KZ$3,0)</f>
        <v>1</v>
      </c>
      <c r="BD23" s="92" t="e">
        <f>INDEX(Data!$LA$2:$LD$3,'Roller Blinds'!BC23,'Roller Blinds'!BB23)</f>
        <v>#N/A</v>
      </c>
      <c r="BG23" s="92" t="b">
        <f>IF(O23=Data!$QK$2,Data!$QL$1,IF(O23=Data!$QK$3,Data!$QM$1,IF(O23=Data!$QK$4,Data!$QN$1,IF(O23=Data!$QK$5,Data!$QO$1,IF(O23=Data!$QK$6,Data!$QP$1,IF(O23=Data!$QK$7,Data!$QQ$1,IF(O23=Data!$QK$8,Data!$QR$1,IF(O23=Data!$QK$9,Data!$QS$1, IF(O23=Data!$QK$10,Data!$QV$1, IF(O23=Data!$QK$11,Data!$QW$1))))))))))</f>
        <v>0</v>
      </c>
      <c r="BH23" s="33" t="b">
        <f>IF(O23=Data!$QK$2,Data!$QL$17,IF(O23=Data!$QK$3,Data!$QM$17,IF(O23=Data!$QK$4,Data!$QN$17,IF(O23=Data!$QK$5,Data!$QO$17,IF(O23=Data!$QK$6,Data!$QP$17,IF(O23=Data!$QK$7,Data!$QQ$17,IF(O23=Data!$QK$8,Data!$QR$17,IF(O23=Data!$QK$9,Data!$QS$17,IF(O23=Data!$QK$10,Data!$QV$17,IF(O23=Data!$QK$11,Data!$QW$17))))))))))</f>
        <v>0</v>
      </c>
      <c r="BI23" s="33" t="e">
        <f>VLOOKUP(O23,Data!$PU$13:$PV$22,2,FALSE)</f>
        <v>#N/A</v>
      </c>
      <c r="BJ23" s="33" t="e">
        <f>MATCH('Roller Blinds'!D23,Data!$YK$2:$YK$15)</f>
        <v>#N/A</v>
      </c>
      <c r="BK23" s="33" t="e">
        <f>MATCH(L23,Data!$YL$1:$YM$1)</f>
        <v>#N/A</v>
      </c>
      <c r="BL23" s="33" t="e">
        <f>INDEX(Data!$YL$2:$YM$15,BJ23,BK23)</f>
        <v>#N/A</v>
      </c>
    </row>
    <row r="24" spans="1:64" ht="30" customHeight="1" thickTop="1" thickBot="1">
      <c r="A24" s="53">
        <v>17</v>
      </c>
      <c r="B24" s="17"/>
      <c r="C24" s="17"/>
      <c r="D24" s="19"/>
      <c r="E24" s="15"/>
      <c r="F24" s="10"/>
      <c r="G24" s="10"/>
      <c r="H24" s="14"/>
      <c r="I24" s="14"/>
      <c r="J24" s="484"/>
      <c r="K24" s="485"/>
      <c r="L24" s="15"/>
      <c r="M24" s="15"/>
      <c r="N24" s="15"/>
      <c r="O24" s="514"/>
      <c r="P24" s="515"/>
      <c r="Q24" s="13"/>
      <c r="R24" s="13"/>
      <c r="S24" s="13"/>
      <c r="T24" s="13"/>
      <c r="U24" s="13"/>
      <c r="V24" s="13"/>
      <c r="W24" s="13"/>
      <c r="X24" s="15"/>
      <c r="Y24" s="16"/>
      <c r="Z24" s="186"/>
      <c r="AA24" s="236"/>
      <c r="AB24" s="237"/>
      <c r="AC24" s="33" t="e">
        <f t="shared" si="0"/>
        <v>#N/A</v>
      </c>
      <c r="AD24" s="33" t="e">
        <f>VLOOKUP(S24,Data!$QH$2:$QI$4,2,FALSE)</f>
        <v>#N/A</v>
      </c>
      <c r="AF24" s="92" t="e">
        <f t="shared" si="1"/>
        <v>#N/A</v>
      </c>
      <c r="AI24" s="92" t="b">
        <f>IF(W24=Data!$KK$2,Data!$KM$1,IF(W24=Data!$KK$3,Data!$KN$1,IF(W24=Data!$KK$4,Data!$KP$1,IF(W24=Data!$KK$5,Data!$KQ$1))))</f>
        <v>0</v>
      </c>
      <c r="AJ24" s="33" t="str">
        <f>IF(D24=Data!$W$10,Data!$QJ$1,Data!$QK$1)</f>
        <v>RollerControl</v>
      </c>
      <c r="AM24" s="33" t="b">
        <f>IF(S24=Data!$PX$2,Data!$PZ$1,IF(S24=Data!$PX$3,Data!$PY$1,IF(S24=Data!$PX$4,Data!$QA$1)))</f>
        <v>0</v>
      </c>
      <c r="AO24" s="33" t="b">
        <f>IF(S24=Data!$PX$3,Data!$QB$1,IF(S24=Data!$PX$2,Data!$QC$1,IF(S24=Data!$PX$4,Data!$QD$1)))</f>
        <v>0</v>
      </c>
      <c r="AQ24" s="33" t="str">
        <f>IF(D24=Data!$W$3,Data!$QF$1,IF(D24=Data!$W$4,Data!$QF$1,IF(D24=Data!$W$5,Data!$QF$1,IF(D24=Data!$W$6,Data!$QF$1,IF(D24=Data!$W$7,Data!$QF$1,IF(D24=Data!$W$8,Data!$QF$1,IF(D24=Data!$W$9,Data!$QF$1,IF(D24=Data!$W$10,Data!$QE$1,IF(D24=Data!$W$11,Data!$QF$1,IF(D24=Data!$W$12,Data!$QF$1,IF(D24=Data!$W$13,Data!$QF$1,IF(D24=Data!$W$14,Data!$QF$1,IF(D24=Data!$W$15,Data!$QF$1,IF(D24=Data!$W$16,Data!$QF$1))))))))))))))</f>
        <v>RollerBracketType2</v>
      </c>
      <c r="BA24" s="40" t="str">
        <f>IF(AND(F24&lt;2130, OR(G24&lt;2100)),Data!$KS$1,Data!$KT$1)</f>
        <v>Small_Tube</v>
      </c>
      <c r="BB24" s="92" t="e">
        <f>MATCH(W24,Data!$LA$1:$LD$1,0)</f>
        <v>#N/A</v>
      </c>
      <c r="BC24" s="92">
        <f>MATCH('Roller Blinds'!BA24,Data!$KZ$2:$KZ$3,0)</f>
        <v>1</v>
      </c>
      <c r="BD24" s="92" t="e">
        <f>INDEX(Data!$LA$2:$LD$3,'Roller Blinds'!BC24,'Roller Blinds'!BB24)</f>
        <v>#N/A</v>
      </c>
      <c r="BG24" s="92" t="b">
        <f>IF(O24=Data!$QK$2,Data!$QL$1,IF(O24=Data!$QK$3,Data!$QM$1,IF(O24=Data!$QK$4,Data!$QN$1,IF(O24=Data!$QK$5,Data!$QO$1,IF(O24=Data!$QK$6,Data!$QP$1,IF(O24=Data!$QK$7,Data!$QQ$1,IF(O24=Data!$QK$8,Data!$QR$1,IF(O24=Data!$QK$9,Data!$QS$1, IF(O24=Data!$QK$10,Data!$QV$1, IF(O24=Data!$QK$11,Data!$QW$1))))))))))</f>
        <v>0</v>
      </c>
      <c r="BH24" s="33" t="b">
        <f>IF(O24=Data!$QK$2,Data!$QL$17,IF(O24=Data!$QK$3,Data!$QM$17,IF(O24=Data!$QK$4,Data!$QN$17,IF(O24=Data!$QK$5,Data!$QO$17,IF(O24=Data!$QK$6,Data!$QP$17,IF(O24=Data!$QK$7,Data!$QQ$17,IF(O24=Data!$QK$8,Data!$QR$17,IF(O24=Data!$QK$9,Data!$QS$17,IF(O24=Data!$QK$10,Data!$QV$17,IF(O24=Data!$QK$11,Data!$QW$17))))))))))</f>
        <v>0</v>
      </c>
      <c r="BI24" s="33" t="e">
        <f>VLOOKUP(O24,Data!$PU$13:$PV$22,2,FALSE)</f>
        <v>#N/A</v>
      </c>
      <c r="BJ24" s="33" t="e">
        <f>MATCH('Roller Blinds'!D24,Data!$YK$2:$YK$15)</f>
        <v>#N/A</v>
      </c>
      <c r="BK24" s="33" t="e">
        <f>MATCH(L24,Data!$YL$1:$YM$1)</f>
        <v>#N/A</v>
      </c>
      <c r="BL24" s="33" t="e">
        <f>INDEX(Data!$YL$2:$YM$15,BJ24,BK24)</f>
        <v>#N/A</v>
      </c>
    </row>
    <row r="25" spans="1:64" ht="30" customHeight="1" thickTop="1" thickBot="1">
      <c r="A25" s="53">
        <v>18</v>
      </c>
      <c r="B25" s="17"/>
      <c r="C25" s="17"/>
      <c r="D25" s="19"/>
      <c r="E25" s="15"/>
      <c r="F25" s="10"/>
      <c r="G25" s="10"/>
      <c r="H25" s="14"/>
      <c r="I25" s="14"/>
      <c r="J25" s="484"/>
      <c r="K25" s="485"/>
      <c r="L25" s="15"/>
      <c r="M25" s="15"/>
      <c r="N25" s="15"/>
      <c r="O25" s="514"/>
      <c r="P25" s="515"/>
      <c r="Q25" s="13"/>
      <c r="R25" s="13"/>
      <c r="S25" s="13"/>
      <c r="T25" s="13"/>
      <c r="U25" s="13"/>
      <c r="V25" s="13"/>
      <c r="W25" s="13"/>
      <c r="X25" s="15"/>
      <c r="Y25" s="16"/>
      <c r="Z25" s="186"/>
      <c r="AA25" s="236"/>
      <c r="AB25" s="237"/>
      <c r="AC25" s="33" t="e">
        <f t="shared" si="0"/>
        <v>#N/A</v>
      </c>
      <c r="AD25" s="33" t="e">
        <f>VLOOKUP(S25,Data!$QH$2:$QI$4,2,FALSE)</f>
        <v>#N/A</v>
      </c>
      <c r="AF25" s="92" t="e">
        <f t="shared" si="1"/>
        <v>#N/A</v>
      </c>
      <c r="AI25" s="92" t="b">
        <f>IF(W25=Data!$KK$2,Data!$KM$1,IF(W25=Data!$KK$3,Data!$KN$1,IF(W25=Data!$KK$4,Data!$KP$1,IF(W25=Data!$KK$5,Data!$KQ$1))))</f>
        <v>0</v>
      </c>
      <c r="AJ25" s="33" t="str">
        <f>IF(D25=Data!$W$10,Data!$QJ$1,Data!$QK$1)</f>
        <v>RollerControl</v>
      </c>
      <c r="AM25" s="33" t="b">
        <f>IF(S25=Data!$PX$2,Data!$PZ$1,IF(S25=Data!$PX$3,Data!$PY$1,IF(S25=Data!$PX$4,Data!$QA$1)))</f>
        <v>0</v>
      </c>
      <c r="AO25" s="33" t="b">
        <f>IF(S25=Data!$PX$3,Data!$QB$1,IF(S25=Data!$PX$2,Data!$QC$1,IF(S25=Data!$PX$4,Data!$QD$1)))</f>
        <v>0</v>
      </c>
      <c r="AQ25" s="33" t="str">
        <f>IF(D25=Data!$W$3,Data!$QF$1,IF(D25=Data!$W$4,Data!$QF$1,IF(D25=Data!$W$5,Data!$QF$1,IF(D25=Data!$W$6,Data!$QF$1,IF(D25=Data!$W$7,Data!$QF$1,IF(D25=Data!$W$8,Data!$QF$1,IF(D25=Data!$W$9,Data!$QF$1,IF(D25=Data!$W$10,Data!$QE$1,IF(D25=Data!$W$11,Data!$QF$1,IF(D25=Data!$W$12,Data!$QF$1,IF(D25=Data!$W$13,Data!$QF$1,IF(D25=Data!$W$14,Data!$QF$1,IF(D25=Data!$W$15,Data!$QF$1,IF(D25=Data!$W$16,Data!$QF$1))))))))))))))</f>
        <v>RollerBracketType2</v>
      </c>
      <c r="BA25" s="40" t="str">
        <f>IF(AND(F25&lt;2130, OR(G25&lt;2100)),Data!$KS$1,Data!$KT$1)</f>
        <v>Small_Tube</v>
      </c>
      <c r="BB25" s="92" t="e">
        <f>MATCH(W25,Data!$LA$1:$LD$1,0)</f>
        <v>#N/A</v>
      </c>
      <c r="BC25" s="92">
        <f>MATCH('Roller Blinds'!BA25,Data!$KZ$2:$KZ$3,0)</f>
        <v>1</v>
      </c>
      <c r="BD25" s="92" t="e">
        <f>INDEX(Data!$LA$2:$LD$3,'Roller Blinds'!BC25,'Roller Blinds'!BB25)</f>
        <v>#N/A</v>
      </c>
      <c r="BG25" s="92" t="b">
        <f>IF(O25=Data!$QK$2,Data!$QL$1,IF(O25=Data!$QK$3,Data!$QM$1,IF(O25=Data!$QK$4,Data!$QN$1,IF(O25=Data!$QK$5,Data!$QO$1,IF(O25=Data!$QK$6,Data!$QP$1,IF(O25=Data!$QK$7,Data!$QQ$1,IF(O25=Data!$QK$8,Data!$QR$1,IF(O25=Data!$QK$9,Data!$QS$1, IF(O25=Data!$QK$10,Data!$QV$1, IF(O25=Data!$QK$11,Data!$QW$1))))))))))</f>
        <v>0</v>
      </c>
      <c r="BH25" s="33" t="b">
        <f>IF(O25=Data!$QK$2,Data!$QL$17,IF(O25=Data!$QK$3,Data!$QM$17,IF(O25=Data!$QK$4,Data!$QN$17,IF(O25=Data!$QK$5,Data!$QO$17,IF(O25=Data!$QK$6,Data!$QP$17,IF(O25=Data!$QK$7,Data!$QQ$17,IF(O25=Data!$QK$8,Data!$QR$17,IF(O25=Data!$QK$9,Data!$QS$17,IF(O25=Data!$QK$10,Data!$QV$17,IF(O25=Data!$QK$11,Data!$QW$17))))))))))</f>
        <v>0</v>
      </c>
      <c r="BI25" s="33" t="e">
        <f>VLOOKUP(O25,Data!$PU$13:$PV$22,2,FALSE)</f>
        <v>#N/A</v>
      </c>
      <c r="BJ25" s="33" t="e">
        <f>MATCH('Roller Blinds'!D25,Data!$YK$2:$YK$15)</f>
        <v>#N/A</v>
      </c>
      <c r="BK25" s="33" t="e">
        <f>MATCH(L25,Data!$YL$1:$YM$1)</f>
        <v>#N/A</v>
      </c>
      <c r="BL25" s="33" t="e">
        <f>INDEX(Data!$YL$2:$YM$15,BJ25,BK25)</f>
        <v>#N/A</v>
      </c>
    </row>
    <row r="26" spans="1:64" ht="30" customHeight="1" thickTop="1" thickBot="1">
      <c r="A26" s="53">
        <v>19</v>
      </c>
      <c r="B26" s="17"/>
      <c r="C26" s="17"/>
      <c r="D26" s="19"/>
      <c r="E26" s="15"/>
      <c r="F26" s="10"/>
      <c r="G26" s="10"/>
      <c r="H26" s="14"/>
      <c r="I26" s="14"/>
      <c r="J26" s="484"/>
      <c r="K26" s="485"/>
      <c r="L26" s="15"/>
      <c r="M26" s="15"/>
      <c r="N26" s="15"/>
      <c r="O26" s="514"/>
      <c r="P26" s="515"/>
      <c r="Q26" s="13"/>
      <c r="R26" s="13"/>
      <c r="S26" s="13"/>
      <c r="T26" s="13"/>
      <c r="U26" s="13"/>
      <c r="V26" s="13"/>
      <c r="W26" s="13"/>
      <c r="X26" s="15"/>
      <c r="Y26" s="16"/>
      <c r="Z26" s="186"/>
      <c r="AA26" s="236"/>
      <c r="AB26" s="237"/>
      <c r="AC26" s="33" t="e">
        <f t="shared" si="0"/>
        <v>#N/A</v>
      </c>
      <c r="AD26" s="33" t="e">
        <f>VLOOKUP(S26,Data!$QH$2:$QI$4,2,FALSE)</f>
        <v>#N/A</v>
      </c>
      <c r="AF26" s="92" t="e">
        <f t="shared" si="1"/>
        <v>#N/A</v>
      </c>
      <c r="AI26" s="92" t="b">
        <f>IF(W26=Data!$KK$2,Data!$KM$1,IF(W26=Data!$KK$3,Data!$KN$1,IF(W26=Data!$KK$4,Data!$KP$1,IF(W26=Data!$KK$5,Data!$KQ$1))))</f>
        <v>0</v>
      </c>
      <c r="AJ26" s="33" t="str">
        <f>IF(D26=Data!$W$10,Data!$QJ$1,Data!$QK$1)</f>
        <v>RollerControl</v>
      </c>
      <c r="AM26" s="33" t="b">
        <f>IF(S26=Data!$PX$2,Data!$PZ$1,IF(S26=Data!$PX$3,Data!$PY$1,IF(S26=Data!$PX$4,Data!$QA$1)))</f>
        <v>0</v>
      </c>
      <c r="AO26" s="33" t="b">
        <f>IF(S26=Data!$PX$3,Data!$QB$1,IF(S26=Data!$PX$2,Data!$QC$1,IF(S26=Data!$PX$4,Data!$QD$1)))</f>
        <v>0</v>
      </c>
      <c r="AQ26" s="33" t="str">
        <f>IF(D26=Data!$W$3,Data!$QF$1,IF(D26=Data!$W$4,Data!$QF$1,IF(D26=Data!$W$5,Data!$QF$1,IF(D26=Data!$W$6,Data!$QF$1,IF(D26=Data!$W$7,Data!$QF$1,IF(D26=Data!$W$8,Data!$QF$1,IF(D26=Data!$W$9,Data!$QF$1,IF(D26=Data!$W$10,Data!$QE$1,IF(D26=Data!$W$11,Data!$QF$1,IF(D26=Data!$W$12,Data!$QF$1,IF(D26=Data!$W$13,Data!$QF$1,IF(D26=Data!$W$14,Data!$QF$1,IF(D26=Data!$W$15,Data!$QF$1,IF(D26=Data!$W$16,Data!$QF$1))))))))))))))</f>
        <v>RollerBracketType2</v>
      </c>
      <c r="BA26" s="40" t="str">
        <f>IF(AND(F26&lt;2130, OR(G26&lt;2100)),Data!$KS$1,Data!$KT$1)</f>
        <v>Small_Tube</v>
      </c>
      <c r="BB26" s="92" t="e">
        <f>MATCH(W26,Data!$LA$1:$LD$1,0)</f>
        <v>#N/A</v>
      </c>
      <c r="BC26" s="92">
        <f>MATCH('Roller Blinds'!BA26,Data!$KZ$2:$KZ$3,0)</f>
        <v>1</v>
      </c>
      <c r="BD26" s="92" t="e">
        <f>INDEX(Data!$LA$2:$LD$3,'Roller Blinds'!BC26,'Roller Blinds'!BB26)</f>
        <v>#N/A</v>
      </c>
      <c r="BG26" s="92" t="b">
        <f>IF(O26=Data!$QK$2,Data!$QL$1,IF(O26=Data!$QK$3,Data!$QM$1,IF(O26=Data!$QK$4,Data!$QN$1,IF(O26=Data!$QK$5,Data!$QO$1,IF(O26=Data!$QK$6,Data!$QP$1,IF(O26=Data!$QK$7,Data!$QQ$1,IF(O26=Data!$QK$8,Data!$QR$1,IF(O26=Data!$QK$9,Data!$QS$1, IF(O26=Data!$QK$10,Data!$QV$1, IF(O26=Data!$QK$11,Data!$QW$1))))))))))</f>
        <v>0</v>
      </c>
      <c r="BH26" s="33" t="b">
        <f>IF(O26=Data!$QK$2,Data!$QL$17,IF(O26=Data!$QK$3,Data!$QM$17,IF(O26=Data!$QK$4,Data!$QN$17,IF(O26=Data!$QK$5,Data!$QO$17,IF(O26=Data!$QK$6,Data!$QP$17,IF(O26=Data!$QK$7,Data!$QQ$17,IF(O26=Data!$QK$8,Data!$QR$17,IF(O26=Data!$QK$9,Data!$QS$17,IF(O26=Data!$QK$10,Data!$QV$17,IF(O26=Data!$QK$11,Data!$QW$17))))))))))</f>
        <v>0</v>
      </c>
      <c r="BI26" s="33" t="e">
        <f>VLOOKUP(O26,Data!$PU$13:$PV$22,2,FALSE)</f>
        <v>#N/A</v>
      </c>
      <c r="BJ26" s="33" t="e">
        <f>MATCH('Roller Blinds'!D26,Data!$YK$2:$YK$15)</f>
        <v>#N/A</v>
      </c>
      <c r="BK26" s="33" t="e">
        <f>MATCH(L26,Data!$YL$1:$YM$1)</f>
        <v>#N/A</v>
      </c>
      <c r="BL26" s="33" t="e">
        <f>INDEX(Data!$YL$2:$YM$15,BJ26,BK26)</f>
        <v>#N/A</v>
      </c>
    </row>
    <row r="27" spans="1:64" ht="30" customHeight="1" thickTop="1" thickBot="1">
      <c r="A27" s="53">
        <v>20</v>
      </c>
      <c r="B27" s="13"/>
      <c r="C27" s="13"/>
      <c r="D27" s="13"/>
      <c r="E27" s="15"/>
      <c r="F27" s="10"/>
      <c r="G27" s="10"/>
      <c r="H27" s="14"/>
      <c r="I27" s="14"/>
      <c r="J27" s="484"/>
      <c r="K27" s="485"/>
      <c r="L27" s="15"/>
      <c r="M27" s="15"/>
      <c r="N27" s="15"/>
      <c r="O27" s="514"/>
      <c r="P27" s="515"/>
      <c r="Q27" s="13"/>
      <c r="R27" s="13"/>
      <c r="S27" s="13"/>
      <c r="T27" s="13"/>
      <c r="U27" s="13"/>
      <c r="V27" s="13"/>
      <c r="W27" s="13"/>
      <c r="X27" s="15"/>
      <c r="Y27" s="16"/>
      <c r="Z27" s="186"/>
      <c r="AA27" s="236"/>
      <c r="AB27" s="237"/>
      <c r="AC27" s="33" t="e">
        <f t="shared" si="0"/>
        <v>#N/A</v>
      </c>
      <c r="AD27" s="33" t="e">
        <f>VLOOKUP(S27,Data!$QH$2:$QI$4,2,FALSE)</f>
        <v>#N/A</v>
      </c>
      <c r="AF27" s="92" t="e">
        <f t="shared" si="1"/>
        <v>#N/A</v>
      </c>
      <c r="AI27" s="92" t="b">
        <f>IF(W27=Data!$KK$2,Data!$KM$1,IF(W27=Data!$KK$3,Data!$KN$1,IF(W27=Data!$KK$4,Data!$KP$1,IF(W27=Data!$KK$5,Data!$KQ$1))))</f>
        <v>0</v>
      </c>
      <c r="AJ27" s="33" t="str">
        <f>IF(D27=Data!$W$10,Data!$QJ$1,Data!$QK$1)</f>
        <v>RollerControl</v>
      </c>
      <c r="AM27" s="33" t="b">
        <f>IF(S27=Data!$PX$2,Data!$PZ$1,IF(S27=Data!$PX$3,Data!$PY$1,IF(S27=Data!$PX$4,Data!$QA$1)))</f>
        <v>0</v>
      </c>
      <c r="AO27" s="33" t="b">
        <f>IF(S27=Data!$PX$3,Data!$QB$1,IF(S27=Data!$PX$2,Data!$QC$1,IF(S27=Data!$PX$4,Data!$QD$1)))</f>
        <v>0</v>
      </c>
      <c r="AQ27" s="33" t="str">
        <f>IF(D27=Data!$W$3,Data!$QF$1,IF(D27=Data!$W$4,Data!$QF$1,IF(D27=Data!$W$5,Data!$QF$1,IF(D27=Data!$W$6,Data!$QF$1,IF(D27=Data!$W$7,Data!$QF$1,IF(D27=Data!$W$8,Data!$QF$1,IF(D27=Data!$W$9,Data!$QF$1,IF(D27=Data!$W$10,Data!$QE$1,IF(D27=Data!$W$11,Data!$QF$1,IF(D27=Data!$W$12,Data!$QF$1,IF(D27=Data!$W$13,Data!$QF$1,IF(D27=Data!$W$14,Data!$QF$1,IF(D27=Data!$W$15,Data!$QF$1,IF(D27=Data!$W$16,Data!$QF$1))))))))))))))</f>
        <v>RollerBracketType2</v>
      </c>
      <c r="BA27" s="40" t="str">
        <f>IF(AND(F27&lt;2130, OR(G27&lt;2100)),Data!$KS$1,Data!$KT$1)</f>
        <v>Small_Tube</v>
      </c>
      <c r="BB27" s="92" t="e">
        <f>MATCH(W27,Data!$LA$1:$LD$1,0)</f>
        <v>#N/A</v>
      </c>
      <c r="BC27" s="92">
        <f>MATCH('Roller Blinds'!BA27,Data!$KZ$2:$KZ$3,0)</f>
        <v>1</v>
      </c>
      <c r="BD27" s="92" t="e">
        <f>INDEX(Data!$LA$2:$LD$3,'Roller Blinds'!BC27,'Roller Blinds'!BB27)</f>
        <v>#N/A</v>
      </c>
      <c r="BG27" s="92" t="b">
        <f>IF(O27=Data!$QK$2,Data!$QL$1,IF(O27=Data!$QK$3,Data!$QM$1,IF(O27=Data!$QK$4,Data!$QN$1,IF(O27=Data!$QK$5,Data!$QO$1,IF(O27=Data!$QK$6,Data!$QP$1,IF(O27=Data!$QK$7,Data!$QQ$1,IF(O27=Data!$QK$8,Data!$QR$1,IF(O27=Data!$QK$9,Data!$QS$1, IF(O27=Data!$QK$10,Data!$QV$1, IF(O27=Data!$QK$11,Data!$QW$1))))))))))</f>
        <v>0</v>
      </c>
      <c r="BH27" s="33" t="b">
        <f>IF(O27=Data!$QK$2,Data!$QL$17,IF(O27=Data!$QK$3,Data!$QM$17,IF(O27=Data!$QK$4,Data!$QN$17,IF(O27=Data!$QK$5,Data!$QO$17,IF(O27=Data!$QK$6,Data!$QP$17,IF(O27=Data!$QK$7,Data!$QQ$17,IF(O27=Data!$QK$8,Data!$QR$17,IF(O27=Data!$QK$9,Data!$QS$17,IF(O27=Data!$QK$10,Data!$QV$17,IF(O27=Data!$QK$11,Data!$QW$17))))))))))</f>
        <v>0</v>
      </c>
      <c r="BI27" s="33" t="e">
        <f>VLOOKUP(O27,Data!$PU$13:$PV$22,2,FALSE)</f>
        <v>#N/A</v>
      </c>
      <c r="BJ27" s="33" t="e">
        <f>MATCH('Roller Blinds'!D27,Data!$YK$2:$YK$15)</f>
        <v>#N/A</v>
      </c>
      <c r="BK27" s="33" t="e">
        <f>MATCH(L27,Data!$YL$1:$YM$1)</f>
        <v>#N/A</v>
      </c>
      <c r="BL27" s="33" t="e">
        <f>INDEX(Data!$YL$2:$YM$15,BJ27,BK27)</f>
        <v>#N/A</v>
      </c>
    </row>
    <row r="28" spans="1:64" ht="30" customHeight="1" thickTop="1" thickBot="1">
      <c r="A28" s="53">
        <v>21</v>
      </c>
      <c r="B28" s="13"/>
      <c r="C28" s="13"/>
      <c r="D28" s="19"/>
      <c r="E28" s="15"/>
      <c r="F28" s="10"/>
      <c r="G28" s="10"/>
      <c r="H28" s="14"/>
      <c r="I28" s="14"/>
      <c r="J28" s="484"/>
      <c r="K28" s="485"/>
      <c r="L28" s="15"/>
      <c r="M28" s="15"/>
      <c r="N28" s="15"/>
      <c r="O28" s="514"/>
      <c r="P28" s="515"/>
      <c r="Q28" s="13"/>
      <c r="R28" s="13"/>
      <c r="S28" s="13"/>
      <c r="T28" s="13"/>
      <c r="U28" s="13"/>
      <c r="V28" s="13"/>
      <c r="W28" s="13"/>
      <c r="X28" s="15"/>
      <c r="Y28" s="16"/>
      <c r="Z28" s="186"/>
      <c r="AA28" s="236"/>
      <c r="AB28" s="237"/>
      <c r="AC28" s="33" t="e">
        <f t="shared" si="0"/>
        <v>#N/A</v>
      </c>
      <c r="AD28" s="33" t="e">
        <f>VLOOKUP(S28,Data!$QH$2:$QI$4,2,FALSE)</f>
        <v>#N/A</v>
      </c>
      <c r="AF28" s="92" t="e">
        <f t="shared" si="1"/>
        <v>#N/A</v>
      </c>
      <c r="AI28" s="92" t="b">
        <f>IF(W28=Data!$KK$2,Data!$KM$1,IF(W28=Data!$KK$3,Data!$KN$1,IF(W28=Data!$KK$4,Data!$KP$1,IF(W28=Data!$KK$5,Data!$KQ$1))))</f>
        <v>0</v>
      </c>
      <c r="AJ28" s="33" t="str">
        <f>IF(D28=Data!$W$10,Data!$QJ$1,Data!$QK$1)</f>
        <v>RollerControl</v>
      </c>
      <c r="AM28" s="33" t="b">
        <f>IF(S28=Data!$PX$2,Data!$PZ$1,IF(S28=Data!$PX$3,Data!$PY$1,IF(S28=Data!$PX$4,Data!$QA$1)))</f>
        <v>0</v>
      </c>
      <c r="AO28" s="33" t="b">
        <f>IF(S28=Data!$PX$3,Data!$QB$1,IF(S28=Data!$PX$2,Data!$QC$1,IF(S28=Data!$PX$4,Data!$QD$1)))</f>
        <v>0</v>
      </c>
      <c r="AQ28" s="33" t="str">
        <f>IF(D28=Data!$W$3,Data!$QF$1,IF(D28=Data!$W$4,Data!$QF$1,IF(D28=Data!$W$5,Data!$QF$1,IF(D28=Data!$W$6,Data!$QF$1,IF(D28=Data!$W$7,Data!$QF$1,IF(D28=Data!$W$8,Data!$QF$1,IF(D28=Data!$W$9,Data!$QF$1,IF(D28=Data!$W$10,Data!$QE$1,IF(D28=Data!$W$11,Data!$QF$1,IF(D28=Data!$W$12,Data!$QF$1,IF(D28=Data!$W$13,Data!$QF$1,IF(D28=Data!$W$14,Data!$QF$1,IF(D28=Data!$W$15,Data!$QF$1,IF(D28=Data!$W$16,Data!$QF$1))))))))))))))</f>
        <v>RollerBracketType2</v>
      </c>
      <c r="BA28" s="40" t="str">
        <f>IF(AND(F28&lt;2130, OR(G28&lt;2100)),Data!$KS$1,Data!$KT$1)</f>
        <v>Small_Tube</v>
      </c>
      <c r="BB28" s="92" t="e">
        <f>MATCH(W28,Data!$LA$1:$LD$1,0)</f>
        <v>#N/A</v>
      </c>
      <c r="BC28" s="92">
        <f>MATCH('Roller Blinds'!BA28,Data!$KZ$2:$KZ$3,0)</f>
        <v>1</v>
      </c>
      <c r="BD28" s="92" t="e">
        <f>INDEX(Data!$LA$2:$LD$3,'Roller Blinds'!BC28,'Roller Blinds'!BB28)</f>
        <v>#N/A</v>
      </c>
      <c r="BG28" s="92" t="b">
        <f>IF(O28=Data!$QK$2,Data!$QL$1,IF(O28=Data!$QK$3,Data!$QM$1,IF(O28=Data!$QK$4,Data!$QN$1,IF(O28=Data!$QK$5,Data!$QO$1,IF(O28=Data!$QK$6,Data!$QP$1,IF(O28=Data!$QK$7,Data!$QQ$1,IF(O28=Data!$QK$8,Data!$QR$1,IF(O28=Data!$QK$9,Data!$QS$1, IF(O28=Data!$QK$10,Data!$QV$1, IF(O28=Data!$QK$11,Data!$QW$1))))))))))</f>
        <v>0</v>
      </c>
      <c r="BH28" s="33" t="b">
        <f>IF(O28=Data!$QK$2,Data!$QL$17,IF(O28=Data!$QK$3,Data!$QM$17,IF(O28=Data!$QK$4,Data!$QN$17,IF(O28=Data!$QK$5,Data!$QO$17,IF(O28=Data!$QK$6,Data!$QP$17,IF(O28=Data!$QK$7,Data!$QQ$17,IF(O28=Data!$QK$8,Data!$QR$17,IF(O28=Data!$QK$9,Data!$QS$17,IF(O28=Data!$QK$10,Data!$QV$17,IF(O28=Data!$QK$11,Data!$QW$17))))))))))</f>
        <v>0</v>
      </c>
      <c r="BI28" s="33" t="e">
        <f>VLOOKUP(O28,Data!$PU$13:$PV$22,2,FALSE)</f>
        <v>#N/A</v>
      </c>
      <c r="BJ28" s="33" t="e">
        <f>MATCH('Roller Blinds'!D28,Data!$YK$2:$YK$15)</f>
        <v>#N/A</v>
      </c>
      <c r="BK28" s="33" t="e">
        <f>MATCH(L28,Data!$YL$1:$YM$1)</f>
        <v>#N/A</v>
      </c>
      <c r="BL28" s="33" t="e">
        <f>INDEX(Data!$YL$2:$YM$15,BJ28,BK28)</f>
        <v>#N/A</v>
      </c>
    </row>
    <row r="29" spans="1:64" ht="30" customHeight="1" thickTop="1" thickBot="1">
      <c r="A29" s="53">
        <v>22</v>
      </c>
      <c r="B29" s="13"/>
      <c r="C29" s="13"/>
      <c r="D29" s="19"/>
      <c r="E29" s="15"/>
      <c r="F29" s="10"/>
      <c r="G29" s="10"/>
      <c r="H29" s="14"/>
      <c r="I29" s="14"/>
      <c r="J29" s="484"/>
      <c r="K29" s="485"/>
      <c r="L29" s="15"/>
      <c r="M29" s="15"/>
      <c r="N29" s="15"/>
      <c r="O29" s="514"/>
      <c r="P29" s="515"/>
      <c r="Q29" s="13"/>
      <c r="R29" s="13"/>
      <c r="S29" s="13"/>
      <c r="T29" s="13"/>
      <c r="U29" s="13"/>
      <c r="V29" s="13"/>
      <c r="W29" s="13"/>
      <c r="X29" s="15"/>
      <c r="Y29" s="16"/>
      <c r="Z29" s="186"/>
      <c r="AA29" s="236"/>
      <c r="AB29" s="237"/>
      <c r="AC29" s="33" t="e">
        <f t="shared" si="0"/>
        <v>#N/A</v>
      </c>
      <c r="AD29" s="33" t="e">
        <f>VLOOKUP(S29,Data!$QH$2:$QI$4,2,FALSE)</f>
        <v>#N/A</v>
      </c>
      <c r="AF29" s="92" t="e">
        <f t="shared" si="1"/>
        <v>#N/A</v>
      </c>
      <c r="AI29" s="92" t="b">
        <f>IF(W29=Data!$KK$2,Data!$KM$1,IF(W29=Data!$KK$3,Data!$KN$1,IF(W29=Data!$KK$4,Data!$KP$1,IF(W29=Data!$KK$5,Data!$KQ$1))))</f>
        <v>0</v>
      </c>
      <c r="AJ29" s="33" t="str">
        <f>IF(D29=Data!$W$10,Data!$QJ$1,Data!$QK$1)</f>
        <v>RollerControl</v>
      </c>
      <c r="AM29" s="33" t="b">
        <f>IF(S29=Data!$PX$2,Data!$PZ$1,IF(S29=Data!$PX$3,Data!$PY$1,IF(S29=Data!$PX$4,Data!$QA$1)))</f>
        <v>0</v>
      </c>
      <c r="AO29" s="33" t="b">
        <f>IF(S29=Data!$PX$3,Data!$QB$1,IF(S29=Data!$PX$2,Data!$QC$1,IF(S29=Data!$PX$4,Data!$QD$1)))</f>
        <v>0</v>
      </c>
      <c r="AQ29" s="33" t="str">
        <f>IF(D29=Data!$W$3,Data!$QF$1,IF(D29=Data!$W$4,Data!$QF$1,IF(D29=Data!$W$5,Data!$QF$1,IF(D29=Data!$W$6,Data!$QF$1,IF(D29=Data!$W$7,Data!$QF$1,IF(D29=Data!$W$8,Data!$QF$1,IF(D29=Data!$W$9,Data!$QF$1,IF(D29=Data!$W$10,Data!$QE$1,IF(D29=Data!$W$11,Data!$QF$1,IF(D29=Data!$W$12,Data!$QF$1,IF(D29=Data!$W$13,Data!$QF$1,IF(D29=Data!$W$14,Data!$QF$1,IF(D29=Data!$W$15,Data!$QF$1,IF(D29=Data!$W$16,Data!$QF$1))))))))))))))</f>
        <v>RollerBracketType2</v>
      </c>
      <c r="BA29" s="40" t="str">
        <f>IF(AND(F29&lt;2130, OR(G29&lt;2100)),Data!$KS$1,Data!$KT$1)</f>
        <v>Small_Tube</v>
      </c>
      <c r="BB29" s="92" t="e">
        <f>MATCH(W29,Data!$LA$1:$LD$1,0)</f>
        <v>#N/A</v>
      </c>
      <c r="BC29" s="92">
        <f>MATCH('Roller Blinds'!BA29,Data!$KZ$2:$KZ$3,0)</f>
        <v>1</v>
      </c>
      <c r="BD29" s="92" t="e">
        <f>INDEX(Data!$LA$2:$LD$3,'Roller Blinds'!BC29,'Roller Blinds'!BB29)</f>
        <v>#N/A</v>
      </c>
      <c r="BG29" s="92" t="b">
        <f>IF(O29=Data!$QK$2,Data!$QL$1,IF(O29=Data!$QK$3,Data!$QM$1,IF(O29=Data!$QK$4,Data!$QN$1,IF(O29=Data!$QK$5,Data!$QO$1,IF(O29=Data!$QK$6,Data!$QP$1,IF(O29=Data!$QK$7,Data!$QQ$1,IF(O29=Data!$QK$8,Data!$QR$1,IF(O29=Data!$QK$9,Data!$QS$1, IF(O29=Data!$QK$10,Data!$QV$1, IF(O29=Data!$QK$11,Data!$QW$1))))))))))</f>
        <v>0</v>
      </c>
      <c r="BH29" s="33" t="b">
        <f>IF(O29=Data!$QK$2,Data!$QL$17,IF(O29=Data!$QK$3,Data!$QM$17,IF(O29=Data!$QK$4,Data!$QN$17,IF(O29=Data!$QK$5,Data!$QO$17,IF(O29=Data!$QK$6,Data!$QP$17,IF(O29=Data!$QK$7,Data!$QQ$17,IF(O29=Data!$QK$8,Data!$QR$17,IF(O29=Data!$QK$9,Data!$QS$17,IF(O29=Data!$QK$10,Data!$QV$17,IF(O29=Data!$QK$11,Data!$QW$17))))))))))</f>
        <v>0</v>
      </c>
      <c r="BI29" s="33" t="e">
        <f>VLOOKUP(O29,Data!$PU$13:$PV$22,2,FALSE)</f>
        <v>#N/A</v>
      </c>
      <c r="BJ29" s="33" t="e">
        <f>MATCH('Roller Blinds'!D29,Data!$YK$2:$YK$15)</f>
        <v>#N/A</v>
      </c>
      <c r="BK29" s="33" t="e">
        <f>MATCH(L29,Data!$YL$1:$YM$1)</f>
        <v>#N/A</v>
      </c>
      <c r="BL29" s="33" t="e">
        <f>INDEX(Data!$YL$2:$YM$15,BJ29,BK29)</f>
        <v>#N/A</v>
      </c>
    </row>
    <row r="30" spans="1:64" ht="30" customHeight="1" thickTop="1" thickBot="1">
      <c r="A30" s="53">
        <v>23</v>
      </c>
      <c r="B30" s="13"/>
      <c r="C30" s="13"/>
      <c r="D30" s="13"/>
      <c r="E30" s="15"/>
      <c r="F30" s="10"/>
      <c r="G30" s="10"/>
      <c r="H30" s="14"/>
      <c r="I30" s="14"/>
      <c r="J30" s="484"/>
      <c r="K30" s="485"/>
      <c r="L30" s="15"/>
      <c r="M30" s="15"/>
      <c r="N30" s="15"/>
      <c r="O30" s="514"/>
      <c r="P30" s="515"/>
      <c r="Q30" s="13"/>
      <c r="R30" s="13"/>
      <c r="S30" s="13"/>
      <c r="T30" s="13"/>
      <c r="U30" s="13"/>
      <c r="V30" s="13"/>
      <c r="W30" s="13"/>
      <c r="X30" s="15"/>
      <c r="Y30" s="16"/>
      <c r="Z30" s="186"/>
      <c r="AA30" s="236"/>
      <c r="AB30" s="237"/>
      <c r="AC30" s="33" t="e">
        <f t="shared" si="0"/>
        <v>#N/A</v>
      </c>
      <c r="AD30" s="33" t="e">
        <f>VLOOKUP(S30,Data!$QH$2:$QI$4,2,FALSE)</f>
        <v>#N/A</v>
      </c>
      <c r="AF30" s="92" t="e">
        <f t="shared" si="1"/>
        <v>#N/A</v>
      </c>
      <c r="AI30" s="92" t="b">
        <f>IF(W30=Data!$KK$2,Data!$KM$1,IF(W30=Data!$KK$3,Data!$KN$1,IF(W30=Data!$KK$4,Data!$KP$1,IF(W30=Data!$KK$5,Data!$KQ$1))))</f>
        <v>0</v>
      </c>
      <c r="AJ30" s="33" t="str">
        <f>IF(D30=Data!$W$10,Data!$QJ$1,Data!$QK$1)</f>
        <v>RollerControl</v>
      </c>
      <c r="AM30" s="33" t="b">
        <f>IF(S30=Data!$PX$2,Data!$PZ$1,IF(S30=Data!$PX$3,Data!$PY$1,IF(S30=Data!$PX$4,Data!$QA$1)))</f>
        <v>0</v>
      </c>
      <c r="AO30" s="33" t="b">
        <f>IF(S30=Data!$PX$3,Data!$QB$1,IF(S30=Data!$PX$2,Data!$QC$1,IF(S30=Data!$PX$4,Data!$QD$1)))</f>
        <v>0</v>
      </c>
      <c r="AQ30" s="33" t="str">
        <f>IF(D30=Data!$W$3,Data!$QF$1,IF(D30=Data!$W$4,Data!$QF$1,IF(D30=Data!$W$5,Data!$QF$1,IF(D30=Data!$W$6,Data!$QF$1,IF(D30=Data!$W$7,Data!$QF$1,IF(D30=Data!$W$8,Data!$QF$1,IF(D30=Data!$W$9,Data!$QF$1,IF(D30=Data!$W$10,Data!$QE$1,IF(D30=Data!$W$11,Data!$QF$1,IF(D30=Data!$W$12,Data!$QF$1,IF(D30=Data!$W$13,Data!$QF$1,IF(D30=Data!$W$14,Data!$QF$1,IF(D30=Data!$W$15,Data!$QF$1,IF(D30=Data!$W$16,Data!$QF$1))))))))))))))</f>
        <v>RollerBracketType2</v>
      </c>
      <c r="BA30" s="40" t="str">
        <f>IF(AND(F30&lt;2130, OR(G30&lt;2100)),Data!$KS$1,Data!$KT$1)</f>
        <v>Small_Tube</v>
      </c>
      <c r="BB30" s="92" t="e">
        <f>MATCH(W30,Data!$LA$1:$LD$1,0)</f>
        <v>#N/A</v>
      </c>
      <c r="BC30" s="92">
        <f>MATCH('Roller Blinds'!BA30,Data!$KZ$2:$KZ$3,0)</f>
        <v>1</v>
      </c>
      <c r="BD30" s="92" t="e">
        <f>INDEX(Data!$LA$2:$LD$3,'Roller Blinds'!BC30,'Roller Blinds'!BB30)</f>
        <v>#N/A</v>
      </c>
      <c r="BG30" s="92" t="b">
        <f>IF(O30=Data!$QK$2,Data!$QL$1,IF(O30=Data!$QK$3,Data!$QM$1,IF(O30=Data!$QK$4,Data!$QN$1,IF(O30=Data!$QK$5,Data!$QO$1,IF(O30=Data!$QK$6,Data!$QP$1,IF(O30=Data!$QK$7,Data!$QQ$1,IF(O30=Data!$QK$8,Data!$QR$1,IF(O30=Data!$QK$9,Data!$QS$1, IF(O30=Data!$QK$10,Data!$QV$1, IF(O30=Data!$QK$11,Data!$QW$1))))))))))</f>
        <v>0</v>
      </c>
      <c r="BH30" s="33" t="b">
        <f>IF(O30=Data!$QK$2,Data!$QL$17,IF(O30=Data!$QK$3,Data!$QM$17,IF(O30=Data!$QK$4,Data!$QN$17,IF(O30=Data!$QK$5,Data!$QO$17,IF(O30=Data!$QK$6,Data!$QP$17,IF(O30=Data!$QK$7,Data!$QQ$17,IF(O30=Data!$QK$8,Data!$QR$17,IF(O30=Data!$QK$9,Data!$QS$17,IF(O30=Data!$QK$10,Data!$QV$17,IF(O30=Data!$QK$11,Data!$QW$17))))))))))</f>
        <v>0</v>
      </c>
      <c r="BI30" s="33" t="e">
        <f>VLOOKUP(O30,Data!$PU$13:$PV$22,2,FALSE)</f>
        <v>#N/A</v>
      </c>
      <c r="BJ30" s="33" t="e">
        <f>MATCH('Roller Blinds'!D30,Data!$YK$2:$YK$15)</f>
        <v>#N/A</v>
      </c>
      <c r="BK30" s="33" t="e">
        <f>MATCH(L30,Data!$YL$1:$YM$1)</f>
        <v>#N/A</v>
      </c>
      <c r="BL30" s="33" t="e">
        <f>INDEX(Data!$YL$2:$YM$15,BJ30,BK30)</f>
        <v>#N/A</v>
      </c>
    </row>
    <row r="31" spans="1:64" ht="30" customHeight="1" thickTop="1" thickBot="1">
      <c r="A31" s="53">
        <v>24</v>
      </c>
      <c r="B31" s="13"/>
      <c r="C31" s="13"/>
      <c r="D31" s="19"/>
      <c r="E31" s="15"/>
      <c r="F31" s="10"/>
      <c r="G31" s="10"/>
      <c r="H31" s="14"/>
      <c r="I31" s="10"/>
      <c r="J31" s="520"/>
      <c r="K31" s="521"/>
      <c r="L31" s="18"/>
      <c r="M31" s="15"/>
      <c r="N31" s="18"/>
      <c r="O31" s="514"/>
      <c r="P31" s="515"/>
      <c r="Q31" s="13"/>
      <c r="R31" s="13"/>
      <c r="S31" s="13"/>
      <c r="T31" s="13"/>
      <c r="U31" s="13"/>
      <c r="V31" s="13"/>
      <c r="W31" s="13"/>
      <c r="X31" s="15"/>
      <c r="Y31" s="16"/>
      <c r="Z31" s="186"/>
      <c r="AA31" s="236"/>
      <c r="AB31" s="237"/>
      <c r="AC31" s="33" t="e">
        <f t="shared" si="0"/>
        <v>#N/A</v>
      </c>
      <c r="AD31" s="33" t="e">
        <f>VLOOKUP(S31,Data!$QH$2:$QI$4,2,FALSE)</f>
        <v>#N/A</v>
      </c>
      <c r="AF31" s="92" t="e">
        <f t="shared" si="1"/>
        <v>#N/A</v>
      </c>
      <c r="AI31" s="92" t="b">
        <f>IF(W31=Data!$KK$2,Data!$KM$1,IF(W31=Data!$KK$3,Data!$KN$1,IF(W31=Data!$KK$4,Data!$KP$1,IF(W31=Data!$KK$5,Data!$KQ$1))))</f>
        <v>0</v>
      </c>
      <c r="AJ31" s="33" t="str">
        <f>IF(D31=Data!$W$10,Data!$QJ$1,Data!$QK$1)</f>
        <v>RollerControl</v>
      </c>
      <c r="AM31" s="33" t="b">
        <f>IF(S31=Data!$PX$2,Data!$PZ$1,IF(S31=Data!$PX$3,Data!$PY$1,IF(S31=Data!$PX$4,Data!$QA$1)))</f>
        <v>0</v>
      </c>
      <c r="AO31" s="33" t="b">
        <f>IF(S31=Data!$PX$3,Data!$QB$1,IF(S31=Data!$PX$2,Data!$QC$1,IF(S31=Data!$PX$4,Data!$QD$1)))</f>
        <v>0</v>
      </c>
      <c r="AQ31" s="33" t="str">
        <f>IF(D31=Data!$W$3,Data!$QF$1,IF(D31=Data!$W$4,Data!$QF$1,IF(D31=Data!$W$5,Data!$QF$1,IF(D31=Data!$W$6,Data!$QF$1,IF(D31=Data!$W$7,Data!$QF$1,IF(D31=Data!$W$8,Data!$QF$1,IF(D31=Data!$W$9,Data!$QF$1,IF(D31=Data!$W$10,Data!$QE$1,IF(D31=Data!$W$11,Data!$QF$1,IF(D31=Data!$W$12,Data!$QF$1,IF(D31=Data!$W$13,Data!$QF$1,IF(D31=Data!$W$14,Data!$QF$1,IF(D31=Data!$W$15,Data!$QF$1,IF(D31=Data!$W$16,Data!$QF$1))))))))))))))</f>
        <v>RollerBracketType2</v>
      </c>
      <c r="BA31" s="40" t="str">
        <f>IF(AND(F31&lt;2130, OR(G31&lt;2100)),Data!$KS$1,Data!$KT$1)</f>
        <v>Small_Tube</v>
      </c>
      <c r="BB31" s="92" t="e">
        <f>MATCH(W31,Data!$LA$1:$LD$1,0)</f>
        <v>#N/A</v>
      </c>
      <c r="BC31" s="92">
        <f>MATCH('Roller Blinds'!BA31,Data!$KZ$2:$KZ$3,0)</f>
        <v>1</v>
      </c>
      <c r="BD31" s="92" t="e">
        <f>INDEX(Data!$LA$2:$LD$3,'Roller Blinds'!BC31,'Roller Blinds'!BB31)</f>
        <v>#N/A</v>
      </c>
      <c r="BG31" s="92" t="b">
        <f>IF(O31=Data!$QK$2,Data!$QL$1,IF(O31=Data!$QK$3,Data!$QM$1,IF(O31=Data!$QK$4,Data!$QN$1,IF(O31=Data!$QK$5,Data!$QO$1,IF(O31=Data!$QK$6,Data!$QP$1,IF(O31=Data!$QK$7,Data!$QQ$1,IF(O31=Data!$QK$8,Data!$QR$1,IF(O31=Data!$QK$9,Data!$QS$1, IF(O31=Data!$QK$10,Data!$QV$1, IF(O31=Data!$QK$11,Data!$QW$1))))))))))</f>
        <v>0</v>
      </c>
      <c r="BH31" s="33" t="b">
        <f>IF(O31=Data!$QK$2,Data!$QL$17,IF(O31=Data!$QK$3,Data!$QM$17,IF(O31=Data!$QK$4,Data!$QN$17,IF(O31=Data!$QK$5,Data!$QO$17,IF(O31=Data!$QK$6,Data!$QP$17,IF(O31=Data!$QK$7,Data!$QQ$17,IF(O31=Data!$QK$8,Data!$QR$17,IF(O31=Data!$QK$9,Data!$QS$17,IF(O31=Data!$QK$10,Data!$QV$17,IF(O31=Data!$QK$11,Data!$QW$17))))))))))</f>
        <v>0</v>
      </c>
      <c r="BI31" s="33" t="e">
        <f>VLOOKUP(O31,Data!$PU$13:$PV$22,2,FALSE)</f>
        <v>#N/A</v>
      </c>
      <c r="BJ31" s="33" t="e">
        <f>MATCH('Roller Blinds'!D31,Data!$YK$2:$YK$15)</f>
        <v>#N/A</v>
      </c>
      <c r="BK31" s="33" t="e">
        <f>MATCH(L31,Data!$YL$1:$YM$1)</f>
        <v>#N/A</v>
      </c>
      <c r="BL31" s="33" t="e">
        <f>INDEX(Data!$YL$2:$YM$15,BJ31,BK31)</f>
        <v>#N/A</v>
      </c>
    </row>
    <row r="32" spans="1:64" ht="30" customHeight="1" thickTop="1" thickBot="1">
      <c r="A32" s="53">
        <v>25</v>
      </c>
      <c r="B32" s="13"/>
      <c r="C32" s="13"/>
      <c r="D32" s="19"/>
      <c r="E32" s="15"/>
      <c r="F32" s="10"/>
      <c r="G32" s="10"/>
      <c r="H32" s="14"/>
      <c r="I32" s="14"/>
      <c r="J32" s="484"/>
      <c r="K32" s="485"/>
      <c r="L32" s="15"/>
      <c r="M32" s="15"/>
      <c r="N32" s="15"/>
      <c r="O32" s="514"/>
      <c r="P32" s="515"/>
      <c r="Q32" s="13"/>
      <c r="R32" s="13"/>
      <c r="S32" s="13"/>
      <c r="T32" s="13"/>
      <c r="U32" s="13"/>
      <c r="V32" s="13"/>
      <c r="W32" s="13"/>
      <c r="X32" s="15"/>
      <c r="Y32" s="16"/>
      <c r="Z32" s="186"/>
      <c r="AA32" s="236"/>
      <c r="AB32" s="237"/>
      <c r="AC32" s="33" t="e">
        <f t="shared" si="0"/>
        <v>#N/A</v>
      </c>
      <c r="AD32" s="33" t="e">
        <f>VLOOKUP(S32,Data!$QH$2:$QI$4,2,FALSE)</f>
        <v>#N/A</v>
      </c>
      <c r="AF32" s="92" t="e">
        <f t="shared" si="1"/>
        <v>#N/A</v>
      </c>
      <c r="AI32" s="92" t="b">
        <f>IF(W32=Data!$KK$2,Data!$KM$1,IF(W32=Data!$KK$3,Data!$KN$1,IF(W32=Data!$KK$4,Data!$KP$1,IF(W32=Data!$KK$5,Data!$KQ$1))))</f>
        <v>0</v>
      </c>
      <c r="AJ32" s="33" t="str">
        <f>IF(D32=Data!$W$10,Data!$QJ$1,Data!$QK$1)</f>
        <v>RollerControl</v>
      </c>
      <c r="AM32" s="33" t="b">
        <f>IF(S32=Data!$PX$2,Data!$PZ$1,IF(S32=Data!$PX$3,Data!$PY$1,IF(S32=Data!$PX$4,Data!$QA$1)))</f>
        <v>0</v>
      </c>
      <c r="AO32" s="33" t="b">
        <f>IF(S32=Data!$PX$3,Data!$QB$1,IF(S32=Data!$PX$2,Data!$QC$1,IF(S32=Data!$PX$4,Data!$QD$1)))</f>
        <v>0</v>
      </c>
      <c r="AQ32" s="33" t="str">
        <f>IF(D32=Data!$W$3,Data!$QF$1,IF(D32=Data!$W$4,Data!$QF$1,IF(D32=Data!$W$5,Data!$QF$1,IF(D32=Data!$W$6,Data!$QF$1,IF(D32=Data!$W$7,Data!$QF$1,IF(D32=Data!$W$8,Data!$QF$1,IF(D32=Data!$W$9,Data!$QF$1,IF(D32=Data!$W$10,Data!$QE$1,IF(D32=Data!$W$11,Data!$QF$1,IF(D32=Data!$W$12,Data!$QF$1,IF(D32=Data!$W$13,Data!$QF$1,IF(D32=Data!$W$14,Data!$QF$1,IF(D32=Data!$W$15,Data!$QF$1,IF(D32=Data!$W$16,Data!$QF$1))))))))))))))</f>
        <v>RollerBracketType2</v>
      </c>
      <c r="BA32" s="40" t="str">
        <f>IF(AND(F32&lt;2130, OR(G32&lt;2100)),Data!$KS$1,Data!$KT$1)</f>
        <v>Small_Tube</v>
      </c>
      <c r="BB32" s="92" t="e">
        <f>MATCH(W32,Data!$LA$1:$LD$1,0)</f>
        <v>#N/A</v>
      </c>
      <c r="BC32" s="92">
        <f>MATCH('Roller Blinds'!BA32,Data!$KZ$2:$KZ$3,0)</f>
        <v>1</v>
      </c>
      <c r="BD32" s="92" t="e">
        <f>INDEX(Data!$LA$2:$LD$3,'Roller Blinds'!BC32,'Roller Blinds'!BB32)</f>
        <v>#N/A</v>
      </c>
      <c r="BG32" s="92" t="b">
        <f>IF(O32=Data!$QK$2,Data!$QL$1,IF(O32=Data!$QK$3,Data!$QM$1,IF(O32=Data!$QK$4,Data!$QN$1,IF(O32=Data!$QK$5,Data!$QO$1,IF(O32=Data!$QK$6,Data!$QP$1,IF(O32=Data!$QK$7,Data!$QQ$1,IF(O32=Data!$QK$8,Data!$QR$1,IF(O32=Data!$QK$9,Data!$QS$1, IF(O32=Data!$QK$10,Data!$QV$1, IF(O32=Data!$QK$11,Data!$QW$1))))))))))</f>
        <v>0</v>
      </c>
      <c r="BH32" s="33" t="b">
        <f>IF(O32=Data!$QK$2,Data!$QL$17,IF(O32=Data!$QK$3,Data!$QM$17,IF(O32=Data!$QK$4,Data!$QN$17,IF(O32=Data!$QK$5,Data!$QO$17,IF(O32=Data!$QK$6,Data!$QP$17,IF(O32=Data!$QK$7,Data!$QQ$17,IF(O32=Data!$QK$8,Data!$QR$17,IF(O32=Data!$QK$9,Data!$QS$17,IF(O32=Data!$QK$10,Data!$QV$17,IF(O32=Data!$QK$11,Data!$QW$17))))))))))</f>
        <v>0</v>
      </c>
      <c r="BI32" s="33" t="e">
        <f>VLOOKUP(O32,Data!$PU$13:$PV$22,2,FALSE)</f>
        <v>#N/A</v>
      </c>
      <c r="BJ32" s="33" t="e">
        <f>MATCH('Roller Blinds'!D32,Data!$YK$2:$YK$15)</f>
        <v>#N/A</v>
      </c>
      <c r="BK32" s="33" t="e">
        <f>MATCH(L32,Data!$YL$1:$YM$1)</f>
        <v>#N/A</v>
      </c>
      <c r="BL32" s="33" t="e">
        <f>INDEX(Data!$YL$2:$YM$15,BJ32,BK32)</f>
        <v>#N/A</v>
      </c>
    </row>
    <row r="33" spans="1:64" ht="30" customHeight="1" thickTop="1" thickBot="1">
      <c r="A33" s="53">
        <v>26</v>
      </c>
      <c r="B33" s="13"/>
      <c r="C33" s="13"/>
      <c r="D33" s="19"/>
      <c r="E33" s="15"/>
      <c r="F33" s="10"/>
      <c r="G33" s="10"/>
      <c r="H33" s="14"/>
      <c r="I33" s="14"/>
      <c r="J33" s="484"/>
      <c r="K33" s="485"/>
      <c r="L33" s="15"/>
      <c r="M33" s="15"/>
      <c r="N33" s="15"/>
      <c r="O33" s="514"/>
      <c r="P33" s="515"/>
      <c r="Q33" s="13"/>
      <c r="R33" s="13"/>
      <c r="S33" s="13"/>
      <c r="T33" s="13"/>
      <c r="U33" s="13"/>
      <c r="V33" s="13"/>
      <c r="W33" s="13"/>
      <c r="X33" s="15"/>
      <c r="Y33" s="16"/>
      <c r="Z33" s="186"/>
      <c r="AA33" s="236"/>
      <c r="AB33" s="237"/>
      <c r="AC33" s="33" t="e">
        <f t="shared" si="0"/>
        <v>#N/A</v>
      </c>
      <c r="AD33" s="33" t="e">
        <f>VLOOKUP(S33,Data!$QH$2:$QI$4,2,FALSE)</f>
        <v>#N/A</v>
      </c>
      <c r="AF33" s="92" t="e">
        <f t="shared" si="1"/>
        <v>#N/A</v>
      </c>
      <c r="AI33" s="92" t="b">
        <f>IF(W33=Data!$KK$2,Data!$KM$1,IF(W33=Data!$KK$3,Data!$KN$1,IF(W33=Data!$KK$4,Data!$KP$1,IF(W33=Data!$KK$5,Data!$KQ$1))))</f>
        <v>0</v>
      </c>
      <c r="AJ33" s="33" t="str">
        <f>IF(D33=Data!$W$10,Data!$QJ$1,Data!$QK$1)</f>
        <v>RollerControl</v>
      </c>
      <c r="AM33" s="33" t="b">
        <f>IF(S33=Data!$PX$2,Data!$PZ$1,IF(S33=Data!$PX$3,Data!$PY$1,IF(S33=Data!$PX$4,Data!$QA$1)))</f>
        <v>0</v>
      </c>
      <c r="AO33" s="33" t="b">
        <f>IF(S33=Data!$PX$3,Data!$QB$1,IF(S33=Data!$PX$2,Data!$QC$1,IF(S33=Data!$PX$4,Data!$QD$1)))</f>
        <v>0</v>
      </c>
      <c r="AQ33" s="33" t="str">
        <f>IF(D33=Data!$W$3,Data!$QF$1,IF(D33=Data!$W$4,Data!$QF$1,IF(D33=Data!$W$5,Data!$QF$1,IF(D33=Data!$W$6,Data!$QF$1,IF(D33=Data!$W$7,Data!$QF$1,IF(D33=Data!$W$8,Data!$QF$1,IF(D33=Data!$W$9,Data!$QF$1,IF(D33=Data!$W$10,Data!$QE$1,IF(D33=Data!$W$11,Data!$QF$1,IF(D33=Data!$W$12,Data!$QF$1,IF(D33=Data!$W$13,Data!$QF$1,IF(D33=Data!$W$14,Data!$QF$1,IF(D33=Data!$W$15,Data!$QF$1,IF(D33=Data!$W$16,Data!$QF$1))))))))))))))</f>
        <v>RollerBracketType2</v>
      </c>
      <c r="BA33" s="40" t="str">
        <f>IF(AND(F33&lt;2130, OR(G33&lt;2100)),Data!$KS$1,Data!$KT$1)</f>
        <v>Small_Tube</v>
      </c>
      <c r="BB33" s="92" t="e">
        <f>MATCH(W33,Data!$LA$1:$LD$1,0)</f>
        <v>#N/A</v>
      </c>
      <c r="BC33" s="92">
        <f>MATCH('Roller Blinds'!BA33,Data!$KZ$2:$KZ$3,0)</f>
        <v>1</v>
      </c>
      <c r="BD33" s="92" t="e">
        <f>INDEX(Data!$LA$2:$LD$3,'Roller Blinds'!BC33,'Roller Blinds'!BB33)</f>
        <v>#N/A</v>
      </c>
      <c r="BG33" s="92" t="b">
        <f>IF(O33=Data!$QK$2,Data!$QL$1,IF(O33=Data!$QK$3,Data!$QM$1,IF(O33=Data!$QK$4,Data!$QN$1,IF(O33=Data!$QK$5,Data!$QO$1,IF(O33=Data!$QK$6,Data!$QP$1,IF(O33=Data!$QK$7,Data!$QQ$1,IF(O33=Data!$QK$8,Data!$QR$1,IF(O33=Data!$QK$9,Data!$QS$1, IF(O33=Data!$QK$10,Data!$QV$1, IF(O33=Data!$QK$11,Data!$QW$1))))))))))</f>
        <v>0</v>
      </c>
      <c r="BH33" s="33" t="b">
        <f>IF(O33=Data!$QK$2,Data!$QL$17,IF(O33=Data!$QK$3,Data!$QM$17,IF(O33=Data!$QK$4,Data!$QN$17,IF(O33=Data!$QK$5,Data!$QO$17,IF(O33=Data!$QK$6,Data!$QP$17,IF(O33=Data!$QK$7,Data!$QQ$17,IF(O33=Data!$QK$8,Data!$QR$17,IF(O33=Data!$QK$9,Data!$QS$17,IF(O33=Data!$QK$10,Data!$QV$17,IF(O33=Data!$QK$11,Data!$QW$17))))))))))</f>
        <v>0</v>
      </c>
      <c r="BI33" s="33" t="e">
        <f>VLOOKUP(O33,Data!$PU$13:$PV$22,2,FALSE)</f>
        <v>#N/A</v>
      </c>
      <c r="BJ33" s="33" t="e">
        <f>MATCH('Roller Blinds'!D33,Data!$YK$2:$YK$15)</f>
        <v>#N/A</v>
      </c>
      <c r="BK33" s="33" t="e">
        <f>MATCH(L33,Data!$YL$1:$YM$1)</f>
        <v>#N/A</v>
      </c>
      <c r="BL33" s="33" t="e">
        <f>INDEX(Data!$YL$2:$YM$15,BJ33,BK33)</f>
        <v>#N/A</v>
      </c>
    </row>
    <row r="34" spans="1:64" ht="30" customHeight="1" thickTop="1" thickBot="1">
      <c r="A34" s="53">
        <v>27</v>
      </c>
      <c r="B34" s="13"/>
      <c r="C34" s="13"/>
      <c r="D34" s="19"/>
      <c r="E34" s="15"/>
      <c r="F34" s="10"/>
      <c r="G34" s="10"/>
      <c r="H34" s="14"/>
      <c r="I34" s="14"/>
      <c r="J34" s="484"/>
      <c r="K34" s="485"/>
      <c r="L34" s="15"/>
      <c r="M34" s="15"/>
      <c r="N34" s="15"/>
      <c r="O34" s="514"/>
      <c r="P34" s="515"/>
      <c r="Q34" s="13"/>
      <c r="R34" s="13"/>
      <c r="S34" s="13"/>
      <c r="T34" s="13"/>
      <c r="U34" s="13"/>
      <c r="V34" s="13"/>
      <c r="W34" s="13"/>
      <c r="X34" s="15"/>
      <c r="Y34" s="16"/>
      <c r="Z34" s="186"/>
      <c r="AA34" s="236"/>
      <c r="AB34" s="237"/>
      <c r="AC34" s="33" t="e">
        <f t="shared" si="0"/>
        <v>#N/A</v>
      </c>
      <c r="AD34" s="33" t="e">
        <f>VLOOKUP(S34,Data!$QH$2:$QI$4,2,FALSE)</f>
        <v>#N/A</v>
      </c>
      <c r="AF34" s="92" t="e">
        <f t="shared" si="1"/>
        <v>#N/A</v>
      </c>
      <c r="AI34" s="92" t="b">
        <f>IF(W34=Data!$KK$2,Data!$KM$1,IF(W34=Data!$KK$3,Data!$KN$1,IF(W34=Data!$KK$4,Data!$KP$1,IF(W34=Data!$KK$5,Data!$KQ$1))))</f>
        <v>0</v>
      </c>
      <c r="AJ34" s="33" t="str">
        <f>IF(D34=Data!$W$10,Data!$QJ$1,Data!$QK$1)</f>
        <v>RollerControl</v>
      </c>
      <c r="AM34" s="33" t="b">
        <f>IF(S34=Data!$PX$2,Data!$PZ$1,IF(S34=Data!$PX$3,Data!$PY$1,IF(S34=Data!$PX$4,Data!$QA$1)))</f>
        <v>0</v>
      </c>
      <c r="AO34" s="33" t="b">
        <f>IF(S34=Data!$PX$3,Data!$QB$1,IF(S34=Data!$PX$2,Data!$QC$1,IF(S34=Data!$PX$4,Data!$QD$1)))</f>
        <v>0</v>
      </c>
      <c r="AQ34" s="33" t="str">
        <f>IF(D34=Data!$W$3,Data!$QF$1,IF(D34=Data!$W$4,Data!$QF$1,IF(D34=Data!$W$5,Data!$QF$1,IF(D34=Data!$W$6,Data!$QF$1,IF(D34=Data!$W$7,Data!$QF$1,IF(D34=Data!$W$8,Data!$QF$1,IF(D34=Data!$W$9,Data!$QF$1,IF(D34=Data!$W$10,Data!$QE$1,IF(D34=Data!$W$11,Data!$QF$1,IF(D34=Data!$W$12,Data!$QF$1,IF(D34=Data!$W$13,Data!$QF$1,IF(D34=Data!$W$14,Data!$QF$1,IF(D34=Data!$W$15,Data!$QF$1,IF(D34=Data!$W$16,Data!$QF$1))))))))))))))</f>
        <v>RollerBracketType2</v>
      </c>
      <c r="BA34" s="40" t="str">
        <f>IF(AND(F34&lt;2130, OR(G34&lt;2100)),Data!$KS$1,Data!$KT$1)</f>
        <v>Small_Tube</v>
      </c>
      <c r="BB34" s="92" t="e">
        <f>MATCH(W34,Data!$LA$1:$LD$1,0)</f>
        <v>#N/A</v>
      </c>
      <c r="BC34" s="92">
        <f>MATCH('Roller Blinds'!BA34,Data!$KZ$2:$KZ$3,0)</f>
        <v>1</v>
      </c>
      <c r="BD34" s="92" t="e">
        <f>INDEX(Data!$LA$2:$LD$3,'Roller Blinds'!BC34,'Roller Blinds'!BB34)</f>
        <v>#N/A</v>
      </c>
      <c r="BG34" s="92" t="b">
        <f>IF(O34=Data!$QK$2,Data!$QL$1,IF(O34=Data!$QK$3,Data!$QM$1,IF(O34=Data!$QK$4,Data!$QN$1,IF(O34=Data!$QK$5,Data!$QO$1,IF(O34=Data!$QK$6,Data!$QP$1,IF(O34=Data!$QK$7,Data!$QQ$1,IF(O34=Data!$QK$8,Data!$QR$1,IF(O34=Data!$QK$9,Data!$QS$1, IF(O34=Data!$QK$10,Data!$QV$1, IF(O34=Data!$QK$11,Data!$QW$1))))))))))</f>
        <v>0</v>
      </c>
      <c r="BH34" s="33" t="b">
        <f>IF(O34=Data!$QK$2,Data!$QL$17,IF(O34=Data!$QK$3,Data!$QM$17,IF(O34=Data!$QK$4,Data!$QN$17,IF(O34=Data!$QK$5,Data!$QO$17,IF(O34=Data!$QK$6,Data!$QP$17,IF(O34=Data!$QK$7,Data!$QQ$17,IF(O34=Data!$QK$8,Data!$QR$17,IF(O34=Data!$QK$9,Data!$QS$17,IF(O34=Data!$QK$10,Data!$QV$17,IF(O34=Data!$QK$11,Data!$QW$17))))))))))</f>
        <v>0</v>
      </c>
      <c r="BI34" s="33" t="e">
        <f>VLOOKUP(O34,Data!$PU$13:$PV$22,2,FALSE)</f>
        <v>#N/A</v>
      </c>
      <c r="BJ34" s="33" t="e">
        <f>MATCH('Roller Blinds'!D34,Data!$YK$2:$YK$15)</f>
        <v>#N/A</v>
      </c>
      <c r="BK34" s="33" t="e">
        <f>MATCH(L34,Data!$YL$1:$YM$1)</f>
        <v>#N/A</v>
      </c>
      <c r="BL34" s="33" t="e">
        <f>INDEX(Data!$YL$2:$YM$15,BJ34,BK34)</f>
        <v>#N/A</v>
      </c>
    </row>
    <row r="35" spans="1:64" ht="30" customHeight="1" thickTop="1" thickBot="1">
      <c r="A35" s="53">
        <v>28</v>
      </c>
      <c r="B35" s="13"/>
      <c r="C35" s="13"/>
      <c r="D35" s="19"/>
      <c r="E35" s="15"/>
      <c r="F35" s="10"/>
      <c r="G35" s="10"/>
      <c r="H35" s="14"/>
      <c r="I35" s="14"/>
      <c r="J35" s="484"/>
      <c r="K35" s="485"/>
      <c r="L35" s="15"/>
      <c r="M35" s="15"/>
      <c r="N35" s="15"/>
      <c r="O35" s="514"/>
      <c r="P35" s="515"/>
      <c r="Q35" s="13"/>
      <c r="R35" s="13"/>
      <c r="S35" s="13"/>
      <c r="T35" s="13"/>
      <c r="U35" s="13"/>
      <c r="V35" s="13"/>
      <c r="W35" s="13"/>
      <c r="X35" s="15"/>
      <c r="Y35" s="16"/>
      <c r="Z35" s="186"/>
      <c r="AA35" s="236"/>
      <c r="AB35" s="237"/>
      <c r="AC35" s="33" t="e">
        <f t="shared" si="0"/>
        <v>#N/A</v>
      </c>
      <c r="AD35" s="33" t="e">
        <f>VLOOKUP(S35,Data!$QH$2:$QI$4,2,FALSE)</f>
        <v>#N/A</v>
      </c>
      <c r="AF35" s="92" t="e">
        <f t="shared" si="1"/>
        <v>#N/A</v>
      </c>
      <c r="AI35" s="92" t="b">
        <f>IF(W35=Data!$KK$2,Data!$KM$1,IF(W35=Data!$KK$3,Data!$KN$1,IF(W35=Data!$KK$4,Data!$KP$1,IF(W35=Data!$KK$5,Data!$KQ$1))))</f>
        <v>0</v>
      </c>
      <c r="AJ35" s="33" t="str">
        <f>IF(D35=Data!$W$10,Data!$QJ$1,Data!$QK$1)</f>
        <v>RollerControl</v>
      </c>
      <c r="AM35" s="33" t="b">
        <f>IF(S35=Data!$PX$2,Data!$PZ$1,IF(S35=Data!$PX$3,Data!$PY$1,IF(S35=Data!$PX$4,Data!$QA$1)))</f>
        <v>0</v>
      </c>
      <c r="AO35" s="33" t="b">
        <f>IF(S35=Data!$PX$3,Data!$QB$1,IF(S35=Data!$PX$2,Data!$QC$1,IF(S35=Data!$PX$4,Data!$QD$1)))</f>
        <v>0</v>
      </c>
      <c r="AQ35" s="33" t="str">
        <f>IF(D35=Data!$W$3,Data!$QF$1,IF(D35=Data!$W$4,Data!$QF$1,IF(D35=Data!$W$5,Data!$QF$1,IF(D35=Data!$W$6,Data!$QF$1,IF(D35=Data!$W$7,Data!$QF$1,IF(D35=Data!$W$8,Data!$QF$1,IF(D35=Data!$W$9,Data!$QF$1,IF(D35=Data!$W$10,Data!$QE$1,IF(D35=Data!$W$11,Data!$QF$1,IF(D35=Data!$W$12,Data!$QF$1,IF(D35=Data!$W$13,Data!$QF$1,IF(D35=Data!$W$14,Data!$QF$1,IF(D35=Data!$W$15,Data!$QF$1,IF(D35=Data!$W$16,Data!$QF$1))))))))))))))</f>
        <v>RollerBracketType2</v>
      </c>
      <c r="BA35" s="40" t="str">
        <f>IF(AND(F35&lt;2130, OR(G35&lt;2100)),Data!$KS$1,Data!$KT$1)</f>
        <v>Small_Tube</v>
      </c>
      <c r="BB35" s="92" t="e">
        <f>MATCH(W35,Data!$LA$1:$LD$1,0)</f>
        <v>#N/A</v>
      </c>
      <c r="BC35" s="92">
        <f>MATCH('Roller Blinds'!BA35,Data!$KZ$2:$KZ$3,0)</f>
        <v>1</v>
      </c>
      <c r="BD35" s="92" t="e">
        <f>INDEX(Data!$LA$2:$LD$3,'Roller Blinds'!BC35,'Roller Blinds'!BB35)</f>
        <v>#N/A</v>
      </c>
      <c r="BG35" s="92" t="b">
        <f>IF(O35=Data!$QK$2,Data!$QL$1,IF(O35=Data!$QK$3,Data!$QM$1,IF(O35=Data!$QK$4,Data!$QN$1,IF(O35=Data!$QK$5,Data!$QO$1,IF(O35=Data!$QK$6,Data!$QP$1,IF(O35=Data!$QK$7,Data!$QQ$1,IF(O35=Data!$QK$8,Data!$QR$1,IF(O35=Data!$QK$9,Data!$QS$1, IF(O35=Data!$QK$10,Data!$QV$1, IF(O35=Data!$QK$11,Data!$QW$1))))))))))</f>
        <v>0</v>
      </c>
      <c r="BH35" s="33" t="b">
        <f>IF(O35=Data!$QK$2,Data!$QL$17,IF(O35=Data!$QK$3,Data!$QM$17,IF(O35=Data!$QK$4,Data!$QN$17,IF(O35=Data!$QK$5,Data!$QO$17,IF(O35=Data!$QK$6,Data!$QP$17,IF(O35=Data!$QK$7,Data!$QQ$17,IF(O35=Data!$QK$8,Data!$QR$17,IF(O35=Data!$QK$9,Data!$QS$17,IF(O35=Data!$QK$10,Data!$QV$17,IF(O35=Data!$QK$11,Data!$QW$17))))))))))</f>
        <v>0</v>
      </c>
      <c r="BI35" s="33" t="e">
        <f>VLOOKUP(O35,Data!$PU$13:$PV$22,2,FALSE)</f>
        <v>#N/A</v>
      </c>
      <c r="BJ35" s="33" t="e">
        <f>MATCH('Roller Blinds'!D35,Data!$YK$2:$YK$15)</f>
        <v>#N/A</v>
      </c>
      <c r="BK35" s="33" t="e">
        <f>MATCH(L35,Data!$YL$1:$YM$1)</f>
        <v>#N/A</v>
      </c>
      <c r="BL35" s="33" t="e">
        <f>INDEX(Data!$YL$2:$YM$15,BJ35,BK35)</f>
        <v>#N/A</v>
      </c>
    </row>
    <row r="36" spans="1:64" ht="30" customHeight="1" thickTop="1" thickBot="1">
      <c r="A36" s="53">
        <v>29</v>
      </c>
      <c r="B36" s="13"/>
      <c r="C36" s="13"/>
      <c r="D36" s="19"/>
      <c r="E36" s="15"/>
      <c r="F36" s="10"/>
      <c r="G36" s="10"/>
      <c r="H36" s="14"/>
      <c r="I36" s="14"/>
      <c r="J36" s="484"/>
      <c r="K36" s="485"/>
      <c r="L36" s="15"/>
      <c r="M36" s="15"/>
      <c r="N36" s="15"/>
      <c r="O36" s="514"/>
      <c r="P36" s="515"/>
      <c r="Q36" s="13"/>
      <c r="R36" s="13"/>
      <c r="S36" s="13"/>
      <c r="T36" s="13"/>
      <c r="U36" s="13"/>
      <c r="V36" s="13"/>
      <c r="W36" s="13"/>
      <c r="X36" s="15"/>
      <c r="Y36" s="16"/>
      <c r="Z36" s="186"/>
      <c r="AA36" s="236"/>
      <c r="AB36" s="237"/>
      <c r="AC36" s="33" t="e">
        <f t="shared" si="0"/>
        <v>#N/A</v>
      </c>
      <c r="AD36" s="33" t="e">
        <f>VLOOKUP(S36,Data!$QH$2:$QI$4,2,FALSE)</f>
        <v>#N/A</v>
      </c>
      <c r="AF36" s="92" t="e">
        <f t="shared" si="1"/>
        <v>#N/A</v>
      </c>
      <c r="AI36" s="92" t="b">
        <f>IF(W36=Data!$KK$2,Data!$KM$1,IF(W36=Data!$KK$3,Data!$KN$1,IF(W36=Data!$KK$4,Data!$KP$1,IF(W36=Data!$KK$5,Data!$KQ$1))))</f>
        <v>0</v>
      </c>
      <c r="AJ36" s="33" t="str">
        <f>IF(D36=Data!$W$10,Data!$QJ$1,Data!$QK$1)</f>
        <v>RollerControl</v>
      </c>
      <c r="AM36" s="33" t="b">
        <f>IF(S36=Data!$PX$2,Data!$PZ$1,IF(S36=Data!$PX$3,Data!$PY$1,IF(S36=Data!$PX$4,Data!$QA$1)))</f>
        <v>0</v>
      </c>
      <c r="AO36" s="33" t="b">
        <f>IF(S36=Data!$PX$3,Data!$QB$1,IF(S36=Data!$PX$2,Data!$QC$1,IF(S36=Data!$PX$4,Data!$QD$1)))</f>
        <v>0</v>
      </c>
      <c r="AQ36" s="33" t="str">
        <f>IF(D36=Data!$W$3,Data!$QF$1,IF(D36=Data!$W$4,Data!$QF$1,IF(D36=Data!$W$5,Data!$QF$1,IF(D36=Data!$W$6,Data!$QF$1,IF(D36=Data!$W$7,Data!$QF$1,IF(D36=Data!$W$8,Data!$QF$1,IF(D36=Data!$W$9,Data!$QF$1,IF(D36=Data!$W$10,Data!$QE$1,IF(D36=Data!$W$11,Data!$QF$1,IF(D36=Data!$W$12,Data!$QF$1,IF(D36=Data!$W$13,Data!$QF$1,IF(D36=Data!$W$14,Data!$QF$1,IF(D36=Data!$W$15,Data!$QF$1,IF(D36=Data!$W$16,Data!$QF$1))))))))))))))</f>
        <v>RollerBracketType2</v>
      </c>
      <c r="BA36" s="40" t="str">
        <f>IF(AND(F36&lt;2130, OR(G36&lt;2100)),Data!$KS$1,Data!$KT$1)</f>
        <v>Small_Tube</v>
      </c>
      <c r="BB36" s="92" t="e">
        <f>MATCH(W36,Data!$LA$1:$LD$1,0)</f>
        <v>#N/A</v>
      </c>
      <c r="BC36" s="92">
        <f>MATCH('Roller Blinds'!BA36,Data!$KZ$2:$KZ$3,0)</f>
        <v>1</v>
      </c>
      <c r="BD36" s="92" t="e">
        <f>INDEX(Data!$LA$2:$LD$3,'Roller Blinds'!BC36,'Roller Blinds'!BB36)</f>
        <v>#N/A</v>
      </c>
      <c r="BG36" s="92" t="b">
        <f>IF(O36=Data!$QK$2,Data!$QL$1,IF(O36=Data!$QK$3,Data!$QM$1,IF(O36=Data!$QK$4,Data!$QN$1,IF(O36=Data!$QK$5,Data!$QO$1,IF(O36=Data!$QK$6,Data!$QP$1,IF(O36=Data!$QK$7,Data!$QQ$1,IF(O36=Data!$QK$8,Data!$QR$1,IF(O36=Data!$QK$9,Data!$QS$1, IF(O36=Data!$QK$10,Data!$QV$1, IF(O36=Data!$QK$11,Data!$QW$1))))))))))</f>
        <v>0</v>
      </c>
      <c r="BH36" s="33" t="b">
        <f>IF(O36=Data!$QK$2,Data!$QL$17,IF(O36=Data!$QK$3,Data!$QM$17,IF(O36=Data!$QK$4,Data!$QN$17,IF(O36=Data!$QK$5,Data!$QO$17,IF(O36=Data!$QK$6,Data!$QP$17,IF(O36=Data!$QK$7,Data!$QQ$17,IF(O36=Data!$QK$8,Data!$QR$17,IF(O36=Data!$QK$9,Data!$QS$17,IF(O36=Data!$QK$10,Data!$QV$17,IF(O36=Data!$QK$11,Data!$QW$17))))))))))</f>
        <v>0</v>
      </c>
      <c r="BI36" s="33" t="e">
        <f>VLOOKUP(O36,Data!$PU$13:$PV$22,2,FALSE)</f>
        <v>#N/A</v>
      </c>
      <c r="BJ36" s="33" t="e">
        <f>MATCH('Roller Blinds'!D36,Data!$YK$2:$YK$15)</f>
        <v>#N/A</v>
      </c>
      <c r="BK36" s="33" t="e">
        <f>MATCH(L36,Data!$YL$1:$YM$1)</f>
        <v>#N/A</v>
      </c>
      <c r="BL36" s="33" t="e">
        <f>INDEX(Data!$YL$2:$YM$15,BJ36,BK36)</f>
        <v>#N/A</v>
      </c>
    </row>
    <row r="37" spans="1:64" ht="30" customHeight="1" thickTop="1" thickBot="1">
      <c r="A37" s="53">
        <v>30</v>
      </c>
      <c r="B37" s="13"/>
      <c r="C37" s="13"/>
      <c r="D37" s="19"/>
      <c r="E37" s="15"/>
      <c r="F37" s="10"/>
      <c r="G37" s="10"/>
      <c r="H37" s="14"/>
      <c r="I37" s="14"/>
      <c r="J37" s="484"/>
      <c r="K37" s="485"/>
      <c r="L37" s="15"/>
      <c r="M37" s="15"/>
      <c r="N37" s="15"/>
      <c r="O37" s="514"/>
      <c r="P37" s="515"/>
      <c r="Q37" s="13"/>
      <c r="R37" s="13"/>
      <c r="S37" s="13"/>
      <c r="T37" s="13"/>
      <c r="U37" s="13"/>
      <c r="V37" s="13"/>
      <c r="W37" s="13"/>
      <c r="X37" s="15"/>
      <c r="Y37" s="16"/>
      <c r="Z37" s="186"/>
      <c r="AA37" s="236"/>
      <c r="AB37" s="237"/>
      <c r="AC37" s="33" t="e">
        <f t="shared" si="0"/>
        <v>#N/A</v>
      </c>
      <c r="AD37" s="33" t="e">
        <f>VLOOKUP(S37,Data!$QH$2:$QI$4,2,FALSE)</f>
        <v>#N/A</v>
      </c>
      <c r="AF37" s="92" t="e">
        <f t="shared" si="1"/>
        <v>#N/A</v>
      </c>
      <c r="AI37" s="92" t="b">
        <f>IF(W37=Data!$KK$2,Data!$KM$1,IF(W37=Data!$KK$3,Data!$KN$1,IF(W37=Data!$KK$4,Data!$KP$1,IF(W37=Data!$KK$5,Data!$KQ$1))))</f>
        <v>0</v>
      </c>
      <c r="AJ37" s="33" t="str">
        <f>IF(D37=Data!$W$10,Data!$QJ$1,Data!$QK$1)</f>
        <v>RollerControl</v>
      </c>
      <c r="AM37" s="33" t="b">
        <f>IF(S37=Data!$PX$2,Data!$PZ$1,IF(S37=Data!$PX$3,Data!$PY$1,IF(S37=Data!$PX$4,Data!$QA$1)))</f>
        <v>0</v>
      </c>
      <c r="AO37" s="33" t="b">
        <f>IF(S37=Data!$PX$3,Data!$QB$1,IF(S37=Data!$PX$2,Data!$QC$1,IF(S37=Data!$PX$4,Data!$QD$1)))</f>
        <v>0</v>
      </c>
      <c r="AQ37" s="33" t="str">
        <f>IF(D37=Data!$W$3,Data!$QF$1,IF(D37=Data!$W$4,Data!$QF$1,IF(D37=Data!$W$5,Data!$QF$1,IF(D37=Data!$W$6,Data!$QF$1,IF(D37=Data!$W$7,Data!$QF$1,IF(D37=Data!$W$8,Data!$QF$1,IF(D37=Data!$W$9,Data!$QF$1,IF(D37=Data!$W$10,Data!$QE$1,IF(D37=Data!$W$11,Data!$QF$1,IF(D37=Data!$W$12,Data!$QF$1,IF(D37=Data!$W$13,Data!$QF$1,IF(D37=Data!$W$14,Data!$QF$1,IF(D37=Data!$W$15,Data!$QF$1,IF(D37=Data!$W$16,Data!$QF$1))))))))))))))</f>
        <v>RollerBracketType2</v>
      </c>
      <c r="BA37" s="40" t="str">
        <f>IF(AND(F37&lt;2130, OR(G37&lt;2100)),Data!$KS$1,Data!$KT$1)</f>
        <v>Small_Tube</v>
      </c>
      <c r="BB37" s="92" t="e">
        <f>MATCH(W37,Data!$LA$1:$LD$1,0)</f>
        <v>#N/A</v>
      </c>
      <c r="BC37" s="92">
        <f>MATCH('Roller Blinds'!BA37,Data!$KZ$2:$KZ$3,0)</f>
        <v>1</v>
      </c>
      <c r="BD37" s="92" t="e">
        <f>INDEX(Data!$LA$2:$LD$3,'Roller Blinds'!BC37,'Roller Blinds'!BB37)</f>
        <v>#N/A</v>
      </c>
      <c r="BG37" s="92" t="b">
        <f>IF(O37=Data!$QK$2,Data!$QL$1,IF(O37=Data!$QK$3,Data!$QM$1,IF(O37=Data!$QK$4,Data!$QN$1,IF(O37=Data!$QK$5,Data!$QO$1,IF(O37=Data!$QK$6,Data!$QP$1,IF(O37=Data!$QK$7,Data!$QQ$1,IF(O37=Data!$QK$8,Data!$QR$1,IF(O37=Data!$QK$9,Data!$QS$1, IF(O37=Data!$QK$10,Data!$QV$1, IF(O37=Data!$QK$11,Data!$QW$1))))))))))</f>
        <v>0</v>
      </c>
      <c r="BH37" s="33" t="b">
        <f>IF(O37=Data!$QK$2,Data!$QL$17,IF(O37=Data!$QK$3,Data!$QM$17,IF(O37=Data!$QK$4,Data!$QN$17,IF(O37=Data!$QK$5,Data!$QO$17,IF(O37=Data!$QK$6,Data!$QP$17,IF(O37=Data!$QK$7,Data!$QQ$17,IF(O37=Data!$QK$8,Data!$QR$17,IF(O37=Data!$QK$9,Data!$QS$17,IF(O37=Data!$QK$10,Data!$QV$17,IF(O37=Data!$QK$11,Data!$QW$17))))))))))</f>
        <v>0</v>
      </c>
      <c r="BI37" s="33" t="e">
        <f>VLOOKUP(O37,Data!$PU$13:$PV$22,2,FALSE)</f>
        <v>#N/A</v>
      </c>
      <c r="BJ37" s="33" t="e">
        <f>MATCH('Roller Blinds'!D37,Data!$YK$2:$YK$15)</f>
        <v>#N/A</v>
      </c>
      <c r="BK37" s="33" t="e">
        <f>MATCH(L37,Data!$YL$1:$YM$1)</f>
        <v>#N/A</v>
      </c>
      <c r="BL37" s="33" t="e">
        <f>INDEX(Data!$YL$2:$YM$15,BJ37,BK37)</f>
        <v>#N/A</v>
      </c>
    </row>
    <row r="38" spans="1:64" ht="30" customHeight="1" thickTop="1" thickBot="1">
      <c r="A38" s="53">
        <v>31</v>
      </c>
      <c r="B38" s="13"/>
      <c r="C38" s="13"/>
      <c r="D38" s="19"/>
      <c r="E38" s="15"/>
      <c r="F38" s="10"/>
      <c r="G38" s="10"/>
      <c r="H38" s="14"/>
      <c r="I38" s="14"/>
      <c r="J38" s="484"/>
      <c r="K38" s="485"/>
      <c r="L38" s="15"/>
      <c r="M38" s="15"/>
      <c r="N38" s="15"/>
      <c r="O38" s="514"/>
      <c r="P38" s="515"/>
      <c r="Q38" s="13"/>
      <c r="R38" s="13"/>
      <c r="S38" s="13"/>
      <c r="T38" s="13"/>
      <c r="U38" s="13"/>
      <c r="V38" s="13"/>
      <c r="W38" s="13"/>
      <c r="X38" s="15"/>
      <c r="Y38" s="16"/>
      <c r="Z38" s="186"/>
      <c r="AA38" s="236"/>
      <c r="AB38" s="237"/>
      <c r="AC38" s="33" t="e">
        <f t="shared" si="0"/>
        <v>#N/A</v>
      </c>
      <c r="AD38" s="33" t="e">
        <f>VLOOKUP(S38,Data!$QH$2:$QI$4,2,FALSE)</f>
        <v>#N/A</v>
      </c>
      <c r="AF38" s="92" t="e">
        <f t="shared" si="1"/>
        <v>#N/A</v>
      </c>
      <c r="AI38" s="92" t="b">
        <f>IF(W38=Data!$KK$2,Data!$KM$1,IF(W38=Data!$KK$3,Data!$KN$1,IF(W38=Data!$KK$4,Data!$KP$1,IF(W38=Data!$KK$5,Data!$KQ$1))))</f>
        <v>0</v>
      </c>
      <c r="AJ38" s="33" t="str">
        <f>IF(D38=Data!$W$10,Data!$QJ$1,Data!$QK$1)</f>
        <v>RollerControl</v>
      </c>
      <c r="AM38" s="33" t="b">
        <f>IF(S38=Data!$PX$2,Data!$PZ$1,IF(S38=Data!$PX$3,Data!$PY$1,IF(S38=Data!$PX$4,Data!$QA$1)))</f>
        <v>0</v>
      </c>
      <c r="AO38" s="33" t="b">
        <f>IF(S38=Data!$PX$3,Data!$QB$1,IF(S38=Data!$PX$2,Data!$QC$1,IF(S38=Data!$PX$4,Data!$QD$1)))</f>
        <v>0</v>
      </c>
      <c r="AQ38" s="33" t="str">
        <f>IF(D38=Data!$W$3,Data!$QF$1,IF(D38=Data!$W$4,Data!$QF$1,IF(D38=Data!$W$5,Data!$QF$1,IF(D38=Data!$W$6,Data!$QF$1,IF(D38=Data!$W$7,Data!$QF$1,IF(D38=Data!$W$8,Data!$QF$1,IF(D38=Data!$W$9,Data!$QF$1,IF(D38=Data!$W$10,Data!$QE$1,IF(D38=Data!$W$11,Data!$QF$1,IF(D38=Data!$W$12,Data!$QF$1,IF(D38=Data!$W$13,Data!$QF$1,IF(D38=Data!$W$14,Data!$QF$1,IF(D38=Data!$W$15,Data!$QF$1,IF(D38=Data!$W$16,Data!$QF$1))))))))))))))</f>
        <v>RollerBracketType2</v>
      </c>
      <c r="BA38" s="40" t="str">
        <f>IF(AND(F38&lt;2130, OR(G38&lt;2100)),Data!$KS$1,Data!$KT$1)</f>
        <v>Small_Tube</v>
      </c>
      <c r="BB38" s="92" t="e">
        <f>MATCH(W38,Data!$LA$1:$LD$1,0)</f>
        <v>#N/A</v>
      </c>
      <c r="BC38" s="92">
        <f>MATCH('Roller Blinds'!BA38,Data!$KZ$2:$KZ$3,0)</f>
        <v>1</v>
      </c>
      <c r="BD38" s="92" t="e">
        <f>INDEX(Data!$LA$2:$LD$3,'Roller Blinds'!BC38,'Roller Blinds'!BB38)</f>
        <v>#N/A</v>
      </c>
      <c r="BG38" s="92" t="b">
        <f>IF(O38=Data!$QK$2,Data!$QL$1,IF(O38=Data!$QK$3,Data!$QM$1,IF(O38=Data!$QK$4,Data!$QN$1,IF(O38=Data!$QK$5,Data!$QO$1,IF(O38=Data!$QK$6,Data!$QP$1,IF(O38=Data!$QK$7,Data!$QQ$1,IF(O38=Data!$QK$8,Data!$QR$1,IF(O38=Data!$QK$9,Data!$QS$1, IF(O38=Data!$QK$10,Data!$QV$1, IF(O38=Data!$QK$11,Data!$QW$1))))))))))</f>
        <v>0</v>
      </c>
      <c r="BH38" s="33" t="b">
        <f>IF(O38=Data!$QK$2,Data!$QL$17,IF(O38=Data!$QK$3,Data!$QM$17,IF(O38=Data!$QK$4,Data!$QN$17,IF(O38=Data!$QK$5,Data!$QO$17,IF(O38=Data!$QK$6,Data!$QP$17,IF(O38=Data!$QK$7,Data!$QQ$17,IF(O38=Data!$QK$8,Data!$QR$17,IF(O38=Data!$QK$9,Data!$QS$17,IF(O38=Data!$QK$10,Data!$QV$17,IF(O38=Data!$QK$11,Data!$QW$17))))))))))</f>
        <v>0</v>
      </c>
      <c r="BI38" s="33" t="e">
        <f>VLOOKUP(O38,Data!$PU$13:$PV$22,2,FALSE)</f>
        <v>#N/A</v>
      </c>
      <c r="BJ38" s="33" t="e">
        <f>MATCH('Roller Blinds'!D38,Data!$YK$2:$YK$15)</f>
        <v>#N/A</v>
      </c>
      <c r="BK38" s="33" t="e">
        <f>MATCH(L38,Data!$YL$1:$YM$1)</f>
        <v>#N/A</v>
      </c>
      <c r="BL38" s="33" t="e">
        <f>INDEX(Data!$YL$2:$YM$15,BJ38,BK38)</f>
        <v>#N/A</v>
      </c>
    </row>
    <row r="39" spans="1:64" ht="30" customHeight="1" thickTop="1" thickBot="1">
      <c r="A39" s="53">
        <v>32</v>
      </c>
      <c r="B39" s="13"/>
      <c r="C39" s="13"/>
      <c r="D39" s="19"/>
      <c r="E39" s="15"/>
      <c r="F39" s="10"/>
      <c r="G39" s="10"/>
      <c r="H39" s="14"/>
      <c r="I39" s="14"/>
      <c r="J39" s="484"/>
      <c r="K39" s="485"/>
      <c r="L39" s="15"/>
      <c r="M39" s="15"/>
      <c r="N39" s="15"/>
      <c r="O39" s="514"/>
      <c r="P39" s="515"/>
      <c r="Q39" s="13"/>
      <c r="R39" s="13"/>
      <c r="S39" s="13"/>
      <c r="T39" s="13"/>
      <c r="U39" s="13"/>
      <c r="V39" s="13"/>
      <c r="W39" s="13"/>
      <c r="X39" s="15"/>
      <c r="Y39" s="16"/>
      <c r="Z39" s="186"/>
      <c r="AA39" s="236"/>
      <c r="AB39" s="237"/>
      <c r="AC39" s="33" t="e">
        <f t="shared" si="0"/>
        <v>#N/A</v>
      </c>
      <c r="AD39" s="33" t="e">
        <f>VLOOKUP(S39,Data!$QH$2:$QI$4,2,FALSE)</f>
        <v>#N/A</v>
      </c>
      <c r="AF39" s="92" t="e">
        <f t="shared" si="1"/>
        <v>#N/A</v>
      </c>
      <c r="AI39" s="92" t="b">
        <f>IF(W39=Data!$KK$2,Data!$KM$1,IF(W39=Data!$KK$3,Data!$KN$1,IF(W39=Data!$KK$4,Data!$KP$1,IF(W39=Data!$KK$5,Data!$KQ$1))))</f>
        <v>0</v>
      </c>
      <c r="AJ39" s="33" t="str">
        <f>IF(D39=Data!$W$10,Data!$QJ$1,Data!$QK$1)</f>
        <v>RollerControl</v>
      </c>
      <c r="AM39" s="33" t="b">
        <f>IF(S39=Data!$PX$2,Data!$PZ$1,IF(S39=Data!$PX$3,Data!$PY$1,IF(S39=Data!$PX$4,Data!$QA$1)))</f>
        <v>0</v>
      </c>
      <c r="AO39" s="33" t="b">
        <f>IF(S39=Data!$PX$3,Data!$QB$1,IF(S39=Data!$PX$2,Data!$QC$1,IF(S39=Data!$PX$4,Data!$QD$1)))</f>
        <v>0</v>
      </c>
      <c r="AQ39" s="33" t="str">
        <f>IF(D39=Data!$W$3,Data!$QF$1,IF(D39=Data!$W$4,Data!$QF$1,IF(D39=Data!$W$5,Data!$QF$1,IF(D39=Data!$W$6,Data!$QF$1,IF(D39=Data!$W$7,Data!$QF$1,IF(D39=Data!$W$8,Data!$QF$1,IF(D39=Data!$W$9,Data!$QF$1,IF(D39=Data!$W$10,Data!$QE$1,IF(D39=Data!$W$11,Data!$QF$1,IF(D39=Data!$W$12,Data!$QF$1,IF(D39=Data!$W$13,Data!$QF$1,IF(D39=Data!$W$14,Data!$QF$1,IF(D39=Data!$W$15,Data!$QF$1,IF(D39=Data!$W$16,Data!$QF$1))))))))))))))</f>
        <v>RollerBracketType2</v>
      </c>
      <c r="BA39" s="40" t="str">
        <f>IF(AND(F39&lt;2130, OR(G39&lt;2100)),Data!$KS$1,Data!$KT$1)</f>
        <v>Small_Tube</v>
      </c>
      <c r="BB39" s="92" t="e">
        <f>MATCH(W39,Data!$LA$1:$LD$1,0)</f>
        <v>#N/A</v>
      </c>
      <c r="BC39" s="92">
        <f>MATCH('Roller Blinds'!BA39,Data!$KZ$2:$KZ$3,0)</f>
        <v>1</v>
      </c>
      <c r="BD39" s="92" t="e">
        <f>INDEX(Data!$LA$2:$LD$3,'Roller Blinds'!BC39,'Roller Blinds'!BB39)</f>
        <v>#N/A</v>
      </c>
      <c r="BG39" s="92" t="b">
        <f>IF(O39=Data!$QK$2,Data!$QL$1,IF(O39=Data!$QK$3,Data!$QM$1,IF(O39=Data!$QK$4,Data!$QN$1,IF(O39=Data!$QK$5,Data!$QO$1,IF(O39=Data!$QK$6,Data!$QP$1,IF(O39=Data!$QK$7,Data!$QQ$1,IF(O39=Data!$QK$8,Data!$QR$1,IF(O39=Data!$QK$9,Data!$QS$1, IF(O39=Data!$QK$10,Data!$QV$1, IF(O39=Data!$QK$11,Data!$QW$1))))))))))</f>
        <v>0</v>
      </c>
      <c r="BH39" s="33" t="b">
        <f>IF(O39=Data!$QK$2,Data!$QL$17,IF(O39=Data!$QK$3,Data!$QM$17,IF(O39=Data!$QK$4,Data!$QN$17,IF(O39=Data!$QK$5,Data!$QO$17,IF(O39=Data!$QK$6,Data!$QP$17,IF(O39=Data!$QK$7,Data!$QQ$17,IF(O39=Data!$QK$8,Data!$QR$17,IF(O39=Data!$QK$9,Data!$QS$17,IF(O39=Data!$QK$10,Data!$QV$17,IF(O39=Data!$QK$11,Data!$QW$17))))))))))</f>
        <v>0</v>
      </c>
      <c r="BI39" s="33" t="e">
        <f>VLOOKUP(O39,Data!$PU$13:$PV$22,2,FALSE)</f>
        <v>#N/A</v>
      </c>
      <c r="BJ39" s="33" t="e">
        <f>MATCH('Roller Blinds'!D39,Data!$YK$2:$YK$15)</f>
        <v>#N/A</v>
      </c>
      <c r="BK39" s="33" t="e">
        <f>MATCH(L39,Data!$YL$1:$YM$1)</f>
        <v>#N/A</v>
      </c>
      <c r="BL39" s="33" t="e">
        <f>INDEX(Data!$YL$2:$YM$15,BJ39,BK39)</f>
        <v>#N/A</v>
      </c>
    </row>
    <row r="40" spans="1:64" ht="30" customHeight="1" thickTop="1" thickBot="1">
      <c r="A40" s="53">
        <v>33</v>
      </c>
      <c r="B40" s="13"/>
      <c r="C40" s="13"/>
      <c r="D40" s="19"/>
      <c r="E40" s="15"/>
      <c r="F40" s="10"/>
      <c r="G40" s="10"/>
      <c r="H40" s="14"/>
      <c r="I40" s="14"/>
      <c r="J40" s="484"/>
      <c r="K40" s="485"/>
      <c r="L40" s="15"/>
      <c r="M40" s="15"/>
      <c r="N40" s="15"/>
      <c r="O40" s="514"/>
      <c r="P40" s="515"/>
      <c r="Q40" s="13"/>
      <c r="R40" s="13"/>
      <c r="S40" s="13"/>
      <c r="T40" s="13"/>
      <c r="U40" s="13"/>
      <c r="V40" s="13"/>
      <c r="W40" s="13"/>
      <c r="X40" s="15"/>
      <c r="Y40" s="16"/>
      <c r="Z40" s="186"/>
      <c r="AA40" s="236"/>
      <c r="AB40" s="237"/>
      <c r="AC40" s="33" t="e">
        <f t="shared" si="0"/>
        <v>#N/A</v>
      </c>
      <c r="AD40" s="33" t="e">
        <f>VLOOKUP(S40,Data!$QH$2:$QI$4,2,FALSE)</f>
        <v>#N/A</v>
      </c>
      <c r="AF40" s="92" t="e">
        <f t="shared" si="1"/>
        <v>#N/A</v>
      </c>
      <c r="AI40" s="92" t="b">
        <f>IF(W40=Data!$KK$2,Data!$KM$1,IF(W40=Data!$KK$3,Data!$KN$1,IF(W40=Data!$KK$4,Data!$KP$1,IF(W40=Data!$KK$5,Data!$KQ$1))))</f>
        <v>0</v>
      </c>
      <c r="AJ40" s="33" t="str">
        <f>IF(D40=Data!$W$10,Data!$QJ$1,Data!$QK$1)</f>
        <v>RollerControl</v>
      </c>
      <c r="AM40" s="33" t="b">
        <f>IF(S40=Data!$PX$2,Data!$PZ$1,IF(S40=Data!$PX$3,Data!$PY$1,IF(S40=Data!$PX$4,Data!$QA$1)))</f>
        <v>0</v>
      </c>
      <c r="AO40" s="33" t="b">
        <f>IF(S40=Data!$PX$3,Data!$QB$1,IF(S40=Data!$PX$2,Data!$QC$1,IF(S40=Data!$PX$4,Data!$QD$1)))</f>
        <v>0</v>
      </c>
      <c r="AQ40" s="33" t="str">
        <f>IF(D40=Data!$W$3,Data!$QF$1,IF(D40=Data!$W$4,Data!$QF$1,IF(D40=Data!$W$5,Data!$QF$1,IF(D40=Data!$W$6,Data!$QF$1,IF(D40=Data!$W$7,Data!$QF$1,IF(D40=Data!$W$8,Data!$QF$1,IF(D40=Data!$W$9,Data!$QF$1,IF(D40=Data!$W$10,Data!$QE$1,IF(D40=Data!$W$11,Data!$QF$1,IF(D40=Data!$W$12,Data!$QF$1,IF(D40=Data!$W$13,Data!$QF$1,IF(D40=Data!$W$14,Data!$QF$1,IF(D40=Data!$W$15,Data!$QF$1,IF(D40=Data!$W$16,Data!$QF$1))))))))))))))</f>
        <v>RollerBracketType2</v>
      </c>
      <c r="BA40" s="40" t="str">
        <f>IF(AND(F40&lt;2130, OR(G40&lt;2100)),Data!$KS$1,Data!$KT$1)</f>
        <v>Small_Tube</v>
      </c>
      <c r="BB40" s="92" t="e">
        <f>MATCH(W40,Data!$LA$1:$LD$1,0)</f>
        <v>#N/A</v>
      </c>
      <c r="BC40" s="92">
        <f>MATCH('Roller Blinds'!BA40,Data!$KZ$2:$KZ$3,0)</f>
        <v>1</v>
      </c>
      <c r="BD40" s="92" t="e">
        <f>INDEX(Data!$LA$2:$LD$3,'Roller Blinds'!BC40,'Roller Blinds'!BB40)</f>
        <v>#N/A</v>
      </c>
      <c r="BG40" s="92" t="b">
        <f>IF(O40=Data!$QK$2,Data!$QL$1,IF(O40=Data!$QK$3,Data!$QM$1,IF(O40=Data!$QK$4,Data!$QN$1,IF(O40=Data!$QK$5,Data!$QO$1,IF(O40=Data!$QK$6,Data!$QP$1,IF(O40=Data!$QK$7,Data!$QQ$1,IF(O40=Data!$QK$8,Data!$QR$1,IF(O40=Data!$QK$9,Data!$QS$1, IF(O40=Data!$QK$10,Data!$QV$1, IF(O40=Data!$QK$11,Data!$QW$1))))))))))</f>
        <v>0</v>
      </c>
      <c r="BH40" s="33" t="b">
        <f>IF(O40=Data!$QK$2,Data!$QL$17,IF(O40=Data!$QK$3,Data!$QM$17,IF(O40=Data!$QK$4,Data!$QN$17,IF(O40=Data!$QK$5,Data!$QO$17,IF(O40=Data!$QK$6,Data!$QP$17,IF(O40=Data!$QK$7,Data!$QQ$17,IF(O40=Data!$QK$8,Data!$QR$17,IF(O40=Data!$QK$9,Data!$QS$17,IF(O40=Data!$QK$10,Data!$QV$17,IF(O40=Data!$QK$11,Data!$QW$17))))))))))</f>
        <v>0</v>
      </c>
      <c r="BI40" s="33" t="e">
        <f>VLOOKUP(O40,Data!$PU$13:$PV$22,2,FALSE)</f>
        <v>#N/A</v>
      </c>
      <c r="BJ40" s="33" t="e">
        <f>MATCH('Roller Blinds'!D40,Data!$YK$2:$YK$15)</f>
        <v>#N/A</v>
      </c>
      <c r="BK40" s="33" t="e">
        <f>MATCH(L40,Data!$YL$1:$YM$1)</f>
        <v>#N/A</v>
      </c>
      <c r="BL40" s="33" t="e">
        <f>INDEX(Data!$YL$2:$YM$15,BJ40,BK40)</f>
        <v>#N/A</v>
      </c>
    </row>
    <row r="41" spans="1:64" ht="30" customHeight="1" thickTop="1" thickBot="1">
      <c r="A41" s="53">
        <v>34</v>
      </c>
      <c r="B41" s="13"/>
      <c r="C41" s="13"/>
      <c r="D41" s="19"/>
      <c r="E41" s="15"/>
      <c r="F41" s="10"/>
      <c r="G41" s="10"/>
      <c r="H41" s="14"/>
      <c r="I41" s="14"/>
      <c r="J41" s="484"/>
      <c r="K41" s="485"/>
      <c r="L41" s="15"/>
      <c r="M41" s="15"/>
      <c r="N41" s="15"/>
      <c r="O41" s="514"/>
      <c r="P41" s="515"/>
      <c r="Q41" s="13"/>
      <c r="R41" s="13"/>
      <c r="S41" s="13"/>
      <c r="T41" s="13"/>
      <c r="U41" s="13"/>
      <c r="V41" s="13"/>
      <c r="W41" s="13"/>
      <c r="X41" s="15"/>
      <c r="Y41" s="16"/>
      <c r="Z41" s="186"/>
      <c r="AA41" s="236"/>
      <c r="AB41" s="237"/>
      <c r="AC41" s="33" t="e">
        <f t="shared" si="0"/>
        <v>#N/A</v>
      </c>
      <c r="AD41" s="33" t="e">
        <f>VLOOKUP(S41,Data!$QH$2:$QI$4,2,FALSE)</f>
        <v>#N/A</v>
      </c>
      <c r="AF41" s="92" t="e">
        <f t="shared" si="1"/>
        <v>#N/A</v>
      </c>
      <c r="AI41" s="92" t="b">
        <f>IF(W41=Data!$KK$2,Data!$KM$1,IF(W41=Data!$KK$3,Data!$KN$1,IF(W41=Data!$KK$4,Data!$KP$1,IF(W41=Data!$KK$5,Data!$KQ$1))))</f>
        <v>0</v>
      </c>
      <c r="AJ41" s="33" t="str">
        <f>IF(D41=Data!$W$10,Data!$QJ$1,Data!$QK$1)</f>
        <v>RollerControl</v>
      </c>
      <c r="AM41" s="33" t="b">
        <f>IF(S41=Data!$PX$2,Data!$PZ$1,IF(S41=Data!$PX$3,Data!$PY$1,IF(S41=Data!$PX$4,Data!$QA$1)))</f>
        <v>0</v>
      </c>
      <c r="AO41" s="33" t="b">
        <f>IF(S41=Data!$PX$3,Data!$QB$1,IF(S41=Data!$PX$2,Data!$QC$1,IF(S41=Data!$PX$4,Data!$QD$1)))</f>
        <v>0</v>
      </c>
      <c r="AQ41" s="33" t="str">
        <f>IF(D41=Data!$W$3,Data!$QF$1,IF(D41=Data!$W$4,Data!$QF$1,IF(D41=Data!$W$5,Data!$QF$1,IF(D41=Data!$W$6,Data!$QF$1,IF(D41=Data!$W$7,Data!$QF$1,IF(D41=Data!$W$8,Data!$QF$1,IF(D41=Data!$W$9,Data!$QF$1,IF(D41=Data!$W$10,Data!$QE$1,IF(D41=Data!$W$11,Data!$QF$1,IF(D41=Data!$W$12,Data!$QF$1,IF(D41=Data!$W$13,Data!$QF$1,IF(D41=Data!$W$14,Data!$QF$1,IF(D41=Data!$W$15,Data!$QF$1,IF(D41=Data!$W$16,Data!$QF$1))))))))))))))</f>
        <v>RollerBracketType2</v>
      </c>
      <c r="BA41" s="40" t="str">
        <f>IF(AND(F41&lt;2130, OR(G41&lt;2100)),Data!$KS$1,Data!$KT$1)</f>
        <v>Small_Tube</v>
      </c>
      <c r="BB41" s="92" t="e">
        <f>MATCH(W41,Data!$LA$1:$LD$1,0)</f>
        <v>#N/A</v>
      </c>
      <c r="BC41" s="92">
        <f>MATCH('Roller Blinds'!BA41,Data!$KZ$2:$KZ$3,0)</f>
        <v>1</v>
      </c>
      <c r="BD41" s="92" t="e">
        <f>INDEX(Data!$LA$2:$LD$3,'Roller Blinds'!BC41,'Roller Blinds'!BB41)</f>
        <v>#N/A</v>
      </c>
      <c r="BG41" s="92" t="b">
        <f>IF(O41=Data!$QK$2,Data!$QL$1,IF(O41=Data!$QK$3,Data!$QM$1,IF(O41=Data!$QK$4,Data!$QN$1,IF(O41=Data!$QK$5,Data!$QO$1,IF(O41=Data!$QK$6,Data!$QP$1,IF(O41=Data!$QK$7,Data!$QQ$1,IF(O41=Data!$QK$8,Data!$QR$1,IF(O41=Data!$QK$9,Data!$QS$1, IF(O41=Data!$QK$10,Data!$QV$1, IF(O41=Data!$QK$11,Data!$QW$1))))))))))</f>
        <v>0</v>
      </c>
      <c r="BH41" s="33" t="b">
        <f>IF(O41=Data!$QK$2,Data!$QL$17,IF(O41=Data!$QK$3,Data!$QM$17,IF(O41=Data!$QK$4,Data!$QN$17,IF(O41=Data!$QK$5,Data!$QO$17,IF(O41=Data!$QK$6,Data!$QP$17,IF(O41=Data!$QK$7,Data!$QQ$17,IF(O41=Data!$QK$8,Data!$QR$17,IF(O41=Data!$QK$9,Data!$QS$17,IF(O41=Data!$QK$10,Data!$QV$17,IF(O41=Data!$QK$11,Data!$QW$17))))))))))</f>
        <v>0</v>
      </c>
      <c r="BI41" s="33" t="e">
        <f>VLOOKUP(O41,Data!$PU$13:$PV$22,2,FALSE)</f>
        <v>#N/A</v>
      </c>
      <c r="BJ41" s="33" t="e">
        <f>MATCH('Roller Blinds'!D41,Data!$YK$2:$YK$15)</f>
        <v>#N/A</v>
      </c>
      <c r="BK41" s="33" t="e">
        <f>MATCH(L41,Data!$YL$1:$YM$1)</f>
        <v>#N/A</v>
      </c>
      <c r="BL41" s="33" t="e">
        <f>INDEX(Data!$YL$2:$YM$15,BJ41,BK41)</f>
        <v>#N/A</v>
      </c>
    </row>
    <row r="42" spans="1:64" ht="30" customHeight="1" thickTop="1" thickBot="1">
      <c r="A42" s="53">
        <v>35</v>
      </c>
      <c r="B42" s="13"/>
      <c r="C42" s="13"/>
      <c r="D42" s="19"/>
      <c r="E42" s="15"/>
      <c r="F42" s="10"/>
      <c r="G42" s="10"/>
      <c r="H42" s="14"/>
      <c r="I42" s="14"/>
      <c r="J42" s="484"/>
      <c r="K42" s="485"/>
      <c r="L42" s="15"/>
      <c r="M42" s="15"/>
      <c r="N42" s="15"/>
      <c r="O42" s="514"/>
      <c r="P42" s="515"/>
      <c r="Q42" s="13"/>
      <c r="R42" s="13"/>
      <c r="S42" s="13"/>
      <c r="T42" s="13"/>
      <c r="U42" s="13"/>
      <c r="V42" s="13"/>
      <c r="W42" s="13"/>
      <c r="X42" s="15"/>
      <c r="Y42" s="16"/>
      <c r="Z42" s="186"/>
      <c r="AA42" s="236"/>
      <c r="AB42" s="237"/>
      <c r="AC42" s="33" t="e">
        <f t="shared" si="0"/>
        <v>#N/A</v>
      </c>
      <c r="AD42" s="33" t="e">
        <f>VLOOKUP(S42,Data!$QH$2:$QI$4,2,FALSE)</f>
        <v>#N/A</v>
      </c>
      <c r="AF42" s="92" t="e">
        <f t="shared" si="1"/>
        <v>#N/A</v>
      </c>
      <c r="AI42" s="92" t="b">
        <f>IF(W42=Data!$KK$2,Data!$KM$1,IF(W42=Data!$KK$3,Data!$KN$1,IF(W42=Data!$KK$4,Data!$KP$1,IF(W42=Data!$KK$5,Data!$KQ$1))))</f>
        <v>0</v>
      </c>
      <c r="AJ42" s="33" t="str">
        <f>IF(D42=Data!$W$10,Data!$QJ$1,Data!$QK$1)</f>
        <v>RollerControl</v>
      </c>
      <c r="AM42" s="33" t="b">
        <f>IF(S42=Data!$PX$2,Data!$PZ$1,IF(S42=Data!$PX$3,Data!$PY$1,IF(S42=Data!$PX$4,Data!$QA$1)))</f>
        <v>0</v>
      </c>
      <c r="AO42" s="33" t="b">
        <f>IF(S42=Data!$PX$3,Data!$QB$1,IF(S42=Data!$PX$2,Data!$QC$1,IF(S42=Data!$PX$4,Data!$QD$1)))</f>
        <v>0</v>
      </c>
      <c r="AQ42" s="33" t="str">
        <f>IF(D42=Data!$W$3,Data!$QF$1,IF(D42=Data!$W$4,Data!$QF$1,IF(D42=Data!$W$5,Data!$QF$1,IF(D42=Data!$W$6,Data!$QF$1,IF(D42=Data!$W$7,Data!$QF$1,IF(D42=Data!$W$8,Data!$QF$1,IF(D42=Data!$W$9,Data!$QF$1,IF(D42=Data!$W$10,Data!$QE$1,IF(D42=Data!$W$11,Data!$QF$1,IF(D42=Data!$W$12,Data!$QF$1,IF(D42=Data!$W$13,Data!$QF$1,IF(D42=Data!$W$14,Data!$QF$1,IF(D42=Data!$W$15,Data!$QF$1,IF(D42=Data!$W$16,Data!$QF$1))))))))))))))</f>
        <v>RollerBracketType2</v>
      </c>
      <c r="BA42" s="40" t="str">
        <f>IF(AND(F42&lt;2130, OR(G42&lt;2100)),Data!$KS$1,Data!$KT$1)</f>
        <v>Small_Tube</v>
      </c>
      <c r="BB42" s="92" t="e">
        <f>MATCH(W42,Data!$LA$1:$LD$1,0)</f>
        <v>#N/A</v>
      </c>
      <c r="BC42" s="92">
        <f>MATCH('Roller Blinds'!BA42,Data!$KZ$2:$KZ$3,0)</f>
        <v>1</v>
      </c>
      <c r="BD42" s="92" t="e">
        <f>INDEX(Data!$LA$2:$LD$3,'Roller Blinds'!BC42,'Roller Blinds'!BB42)</f>
        <v>#N/A</v>
      </c>
      <c r="BG42" s="92" t="b">
        <f>IF(O42=Data!$QK$2,Data!$QL$1,IF(O42=Data!$QK$3,Data!$QM$1,IF(O42=Data!$QK$4,Data!$QN$1,IF(O42=Data!$QK$5,Data!$QO$1,IF(O42=Data!$QK$6,Data!$QP$1,IF(O42=Data!$QK$7,Data!$QQ$1,IF(O42=Data!$QK$8,Data!$QR$1,IF(O42=Data!$QK$9,Data!$QS$1, IF(O42=Data!$QK$10,Data!$QV$1, IF(O42=Data!$QK$11,Data!$QW$1))))))))))</f>
        <v>0</v>
      </c>
      <c r="BH42" s="33" t="b">
        <f>IF(O42=Data!$QK$2,Data!$QL$17,IF(O42=Data!$QK$3,Data!$QM$17,IF(O42=Data!$QK$4,Data!$QN$17,IF(O42=Data!$QK$5,Data!$QO$17,IF(O42=Data!$QK$6,Data!$QP$17,IF(O42=Data!$QK$7,Data!$QQ$17,IF(O42=Data!$QK$8,Data!$QR$17,IF(O42=Data!$QK$9,Data!$QS$17,IF(O42=Data!$QK$10,Data!$QV$17,IF(O42=Data!$QK$11,Data!$QW$17))))))))))</f>
        <v>0</v>
      </c>
      <c r="BI42" s="33" t="e">
        <f>VLOOKUP(O42,Data!$PU$13:$PV$22,2,FALSE)</f>
        <v>#N/A</v>
      </c>
      <c r="BJ42" s="33" t="e">
        <f>MATCH('Roller Blinds'!D42,Data!$YK$2:$YK$15)</f>
        <v>#N/A</v>
      </c>
      <c r="BK42" s="33" t="e">
        <f>MATCH(L42,Data!$YL$1:$YM$1)</f>
        <v>#N/A</v>
      </c>
      <c r="BL42" s="33" t="e">
        <f>INDEX(Data!$YL$2:$YM$15,BJ42,BK42)</f>
        <v>#N/A</v>
      </c>
    </row>
    <row r="43" spans="1:64" ht="30" customHeight="1" thickTop="1" thickBot="1">
      <c r="A43" s="53">
        <v>36</v>
      </c>
      <c r="B43" s="13"/>
      <c r="C43" s="13"/>
      <c r="D43" s="19"/>
      <c r="E43" s="15"/>
      <c r="F43" s="10"/>
      <c r="G43" s="10"/>
      <c r="H43" s="14"/>
      <c r="I43" s="14"/>
      <c r="J43" s="484"/>
      <c r="K43" s="485"/>
      <c r="L43" s="15"/>
      <c r="M43" s="15"/>
      <c r="N43" s="15"/>
      <c r="O43" s="514"/>
      <c r="P43" s="515"/>
      <c r="Q43" s="13"/>
      <c r="R43" s="13"/>
      <c r="S43" s="13"/>
      <c r="T43" s="13"/>
      <c r="U43" s="13"/>
      <c r="V43" s="13"/>
      <c r="W43" s="13"/>
      <c r="X43" s="15"/>
      <c r="Y43" s="16"/>
      <c r="Z43" s="186"/>
      <c r="AA43" s="236"/>
      <c r="AB43" s="237"/>
      <c r="AC43" s="33" t="e">
        <f t="shared" si="0"/>
        <v>#N/A</v>
      </c>
      <c r="AD43" s="33" t="e">
        <f>VLOOKUP(S43,Data!$QH$2:$QI$4,2,FALSE)</f>
        <v>#N/A</v>
      </c>
      <c r="AF43" s="92" t="e">
        <f t="shared" si="1"/>
        <v>#N/A</v>
      </c>
      <c r="AI43" s="92" t="b">
        <f>IF(W43=Data!$KK$2,Data!$KM$1,IF(W43=Data!$KK$3,Data!$KN$1,IF(W43=Data!$KK$4,Data!$KP$1,IF(W43=Data!$KK$5,Data!$KQ$1))))</f>
        <v>0</v>
      </c>
      <c r="AJ43" s="33" t="str">
        <f>IF(D43=Data!$W$10,Data!$QJ$1,Data!$QK$1)</f>
        <v>RollerControl</v>
      </c>
      <c r="AM43" s="33" t="b">
        <f>IF(S43=Data!$PX$2,Data!$PZ$1,IF(S43=Data!$PX$3,Data!$PY$1,IF(S43=Data!$PX$4,Data!$QA$1)))</f>
        <v>0</v>
      </c>
      <c r="AO43" s="33" t="b">
        <f>IF(S43=Data!$PX$3,Data!$QB$1,IF(S43=Data!$PX$2,Data!$QC$1,IF(S43=Data!$PX$4,Data!$QD$1)))</f>
        <v>0</v>
      </c>
      <c r="AQ43" s="33" t="str">
        <f>IF(D43=Data!$W$3,Data!$QF$1,IF(D43=Data!$W$4,Data!$QF$1,IF(D43=Data!$W$5,Data!$QF$1,IF(D43=Data!$W$6,Data!$QF$1,IF(D43=Data!$W$7,Data!$QF$1,IF(D43=Data!$W$8,Data!$QF$1,IF(D43=Data!$W$9,Data!$QF$1,IF(D43=Data!$W$10,Data!$QE$1,IF(D43=Data!$W$11,Data!$QF$1,IF(D43=Data!$W$12,Data!$QF$1,IF(D43=Data!$W$13,Data!$QF$1,IF(D43=Data!$W$14,Data!$QF$1,IF(D43=Data!$W$15,Data!$QF$1,IF(D43=Data!$W$16,Data!$QF$1))))))))))))))</f>
        <v>RollerBracketType2</v>
      </c>
      <c r="BA43" s="40" t="str">
        <f>IF(AND(F43&lt;2130, OR(G43&lt;2100)),Data!$KS$1,Data!$KT$1)</f>
        <v>Small_Tube</v>
      </c>
      <c r="BB43" s="92" t="e">
        <f>MATCH(W43,Data!$LA$1:$LD$1,0)</f>
        <v>#N/A</v>
      </c>
      <c r="BC43" s="92">
        <f>MATCH('Roller Blinds'!BA43,Data!$KZ$2:$KZ$3,0)</f>
        <v>1</v>
      </c>
      <c r="BD43" s="92" t="e">
        <f>INDEX(Data!$LA$2:$LD$3,'Roller Blinds'!BC43,'Roller Blinds'!BB43)</f>
        <v>#N/A</v>
      </c>
      <c r="BG43" s="92" t="b">
        <f>IF(O43=Data!$QK$2,Data!$QL$1,IF(O43=Data!$QK$3,Data!$QM$1,IF(O43=Data!$QK$4,Data!$QN$1,IF(O43=Data!$QK$5,Data!$QO$1,IF(O43=Data!$QK$6,Data!$QP$1,IF(O43=Data!$QK$7,Data!$QQ$1,IF(O43=Data!$QK$8,Data!$QR$1,IF(O43=Data!$QK$9,Data!$QS$1, IF(O43=Data!$QK$10,Data!$QV$1, IF(O43=Data!$QK$11,Data!$QW$1))))))))))</f>
        <v>0</v>
      </c>
      <c r="BH43" s="33" t="b">
        <f>IF(O43=Data!$QK$2,Data!$QL$17,IF(O43=Data!$QK$3,Data!$QM$17,IF(O43=Data!$QK$4,Data!$QN$17,IF(O43=Data!$QK$5,Data!$QO$17,IF(O43=Data!$QK$6,Data!$QP$17,IF(O43=Data!$QK$7,Data!$QQ$17,IF(O43=Data!$QK$8,Data!$QR$17,IF(O43=Data!$QK$9,Data!$QS$17,IF(O43=Data!$QK$10,Data!$QV$17,IF(O43=Data!$QK$11,Data!$QW$17))))))))))</f>
        <v>0</v>
      </c>
      <c r="BI43" s="33" t="e">
        <f>VLOOKUP(O43,Data!$PU$13:$PV$22,2,FALSE)</f>
        <v>#N/A</v>
      </c>
      <c r="BJ43" s="33" t="e">
        <f>MATCH('Roller Blinds'!D43,Data!$YK$2:$YK$15)</f>
        <v>#N/A</v>
      </c>
      <c r="BK43" s="33" t="e">
        <f>MATCH(L43,Data!$YL$1:$YM$1)</f>
        <v>#N/A</v>
      </c>
      <c r="BL43" s="33" t="e">
        <f>INDEX(Data!$YL$2:$YM$15,BJ43,BK43)</f>
        <v>#N/A</v>
      </c>
    </row>
    <row r="44" spans="1:64" ht="30" customHeight="1" thickTop="1" thickBot="1">
      <c r="A44" s="53">
        <v>37</v>
      </c>
      <c r="B44" s="13"/>
      <c r="C44" s="13"/>
      <c r="D44" s="19"/>
      <c r="E44" s="15"/>
      <c r="F44" s="10"/>
      <c r="G44" s="10"/>
      <c r="H44" s="14"/>
      <c r="I44" s="14"/>
      <c r="J44" s="484"/>
      <c r="K44" s="485"/>
      <c r="L44" s="15"/>
      <c r="M44" s="15"/>
      <c r="N44" s="15"/>
      <c r="O44" s="514"/>
      <c r="P44" s="515"/>
      <c r="Q44" s="13"/>
      <c r="R44" s="13"/>
      <c r="S44" s="13"/>
      <c r="T44" s="13"/>
      <c r="U44" s="13"/>
      <c r="V44" s="13"/>
      <c r="W44" s="13"/>
      <c r="X44" s="15"/>
      <c r="Y44" s="16"/>
      <c r="Z44" s="186"/>
      <c r="AA44" s="236"/>
      <c r="AB44" s="237"/>
      <c r="AC44" s="33" t="e">
        <f t="shared" si="0"/>
        <v>#N/A</v>
      </c>
      <c r="AD44" s="33" t="e">
        <f>VLOOKUP(S44,Data!$QH$2:$QI$4,2,FALSE)</f>
        <v>#N/A</v>
      </c>
      <c r="AF44" s="92" t="e">
        <f t="shared" si="1"/>
        <v>#N/A</v>
      </c>
      <c r="AI44" s="92" t="b">
        <f>IF(W44=Data!$KK$2,Data!$KM$1,IF(W44=Data!$KK$3,Data!$KN$1,IF(W44=Data!$KK$4,Data!$KP$1,IF(W44=Data!$KK$5,Data!$KQ$1))))</f>
        <v>0</v>
      </c>
      <c r="AJ44" s="33" t="str">
        <f>IF(D44=Data!$W$10,Data!$QJ$1,Data!$QK$1)</f>
        <v>RollerControl</v>
      </c>
      <c r="AM44" s="33" t="b">
        <f>IF(S44=Data!$PX$2,Data!$PZ$1,IF(S44=Data!$PX$3,Data!$PY$1,IF(S44=Data!$PX$4,Data!$QA$1)))</f>
        <v>0</v>
      </c>
      <c r="AO44" s="33" t="b">
        <f>IF(S44=Data!$PX$3,Data!$QB$1,IF(S44=Data!$PX$2,Data!$QC$1,IF(S44=Data!$PX$4,Data!$QD$1)))</f>
        <v>0</v>
      </c>
      <c r="AQ44" s="33" t="str">
        <f>IF(D44=Data!$W$3,Data!$QF$1,IF(D44=Data!$W$4,Data!$QF$1,IF(D44=Data!$W$5,Data!$QF$1,IF(D44=Data!$W$6,Data!$QF$1,IF(D44=Data!$W$7,Data!$QF$1,IF(D44=Data!$W$8,Data!$QF$1,IF(D44=Data!$W$9,Data!$QF$1,IF(D44=Data!$W$10,Data!$QE$1,IF(D44=Data!$W$11,Data!$QF$1,IF(D44=Data!$W$12,Data!$QF$1,IF(D44=Data!$W$13,Data!$QF$1,IF(D44=Data!$W$14,Data!$QF$1,IF(D44=Data!$W$15,Data!$QF$1,IF(D44=Data!$W$16,Data!$QF$1))))))))))))))</f>
        <v>RollerBracketType2</v>
      </c>
      <c r="BA44" s="40" t="str">
        <f>IF(AND(F44&lt;2130, OR(G44&lt;2100)),Data!$KS$1,Data!$KT$1)</f>
        <v>Small_Tube</v>
      </c>
      <c r="BB44" s="92" t="e">
        <f>MATCH(W44,Data!$LA$1:$LD$1,0)</f>
        <v>#N/A</v>
      </c>
      <c r="BC44" s="92">
        <f>MATCH('Roller Blinds'!BA44,Data!$KZ$2:$KZ$3,0)</f>
        <v>1</v>
      </c>
      <c r="BD44" s="92" t="e">
        <f>INDEX(Data!$LA$2:$LD$3,'Roller Blinds'!BC44,'Roller Blinds'!BB44)</f>
        <v>#N/A</v>
      </c>
      <c r="BG44" s="92" t="b">
        <f>IF(O44=Data!$QK$2,Data!$QL$1,IF(O44=Data!$QK$3,Data!$QM$1,IF(O44=Data!$QK$4,Data!$QN$1,IF(O44=Data!$QK$5,Data!$QO$1,IF(O44=Data!$QK$6,Data!$QP$1,IF(O44=Data!$QK$7,Data!$QQ$1,IF(O44=Data!$QK$8,Data!$QR$1,IF(O44=Data!$QK$9,Data!$QS$1, IF(O44=Data!$QK$10,Data!$QV$1, IF(O44=Data!$QK$11,Data!$QW$1))))))))))</f>
        <v>0</v>
      </c>
      <c r="BH44" s="33" t="b">
        <f>IF(O44=Data!$QK$2,Data!$QL$17,IF(O44=Data!$QK$3,Data!$QM$17,IF(O44=Data!$QK$4,Data!$QN$17,IF(O44=Data!$QK$5,Data!$QO$17,IF(O44=Data!$QK$6,Data!$QP$17,IF(O44=Data!$QK$7,Data!$QQ$17,IF(O44=Data!$QK$8,Data!$QR$17,IF(O44=Data!$QK$9,Data!$QS$17,IF(O44=Data!$QK$10,Data!$QV$17,IF(O44=Data!$QK$11,Data!$QW$17))))))))))</f>
        <v>0</v>
      </c>
      <c r="BI44" s="33" t="e">
        <f>VLOOKUP(O44,Data!$PU$13:$PV$22,2,FALSE)</f>
        <v>#N/A</v>
      </c>
      <c r="BJ44" s="33" t="e">
        <f>MATCH('Roller Blinds'!D44,Data!$YK$2:$YK$15)</f>
        <v>#N/A</v>
      </c>
      <c r="BK44" s="33" t="e">
        <f>MATCH(L44,Data!$YL$1:$YM$1)</f>
        <v>#N/A</v>
      </c>
      <c r="BL44" s="33" t="e">
        <f>INDEX(Data!$YL$2:$YM$15,BJ44,BK44)</f>
        <v>#N/A</v>
      </c>
    </row>
    <row r="45" spans="1:64" ht="30" customHeight="1" thickTop="1" thickBot="1">
      <c r="A45" s="53">
        <v>38</v>
      </c>
      <c r="B45" s="13"/>
      <c r="C45" s="13"/>
      <c r="D45" s="19"/>
      <c r="E45" s="15"/>
      <c r="F45" s="10"/>
      <c r="G45" s="10"/>
      <c r="H45" s="14"/>
      <c r="I45" s="14"/>
      <c r="J45" s="484"/>
      <c r="K45" s="485"/>
      <c r="L45" s="15"/>
      <c r="M45" s="15"/>
      <c r="N45" s="15"/>
      <c r="O45" s="514"/>
      <c r="P45" s="515"/>
      <c r="Q45" s="13"/>
      <c r="R45" s="13"/>
      <c r="S45" s="13"/>
      <c r="T45" s="13"/>
      <c r="U45" s="13"/>
      <c r="V45" s="13"/>
      <c r="W45" s="13"/>
      <c r="X45" s="15"/>
      <c r="Y45" s="16"/>
      <c r="Z45" s="186"/>
      <c r="AA45" s="236"/>
      <c r="AB45" s="237"/>
      <c r="AC45" s="33" t="e">
        <f t="shared" si="0"/>
        <v>#N/A</v>
      </c>
      <c r="AD45" s="33" t="e">
        <f>VLOOKUP(S45,Data!$QH$2:$QI$4,2,FALSE)</f>
        <v>#N/A</v>
      </c>
      <c r="AF45" s="92" t="e">
        <f t="shared" si="1"/>
        <v>#N/A</v>
      </c>
      <c r="AI45" s="92" t="b">
        <f>IF(W45=Data!$KK$2,Data!$KM$1,IF(W45=Data!$KK$3,Data!$KN$1,IF(W45=Data!$KK$4,Data!$KP$1,IF(W45=Data!$KK$5,Data!$KQ$1))))</f>
        <v>0</v>
      </c>
      <c r="AJ45" s="33" t="str">
        <f>IF(D45=Data!$W$10,Data!$QJ$1,Data!$QK$1)</f>
        <v>RollerControl</v>
      </c>
      <c r="AM45" s="33" t="b">
        <f>IF(S45=Data!$PX$2,Data!$PZ$1,IF(S45=Data!$PX$3,Data!$PY$1,IF(S45=Data!$PX$4,Data!$QA$1)))</f>
        <v>0</v>
      </c>
      <c r="AO45" s="33" t="b">
        <f>IF(S45=Data!$PX$3,Data!$QB$1,IF(S45=Data!$PX$2,Data!$QC$1,IF(S45=Data!$PX$4,Data!$QD$1)))</f>
        <v>0</v>
      </c>
      <c r="AQ45" s="33" t="str">
        <f>IF(D45=Data!$W$3,Data!$QF$1,IF(D45=Data!$W$4,Data!$QF$1,IF(D45=Data!$W$5,Data!$QF$1,IF(D45=Data!$W$6,Data!$QF$1,IF(D45=Data!$W$7,Data!$QF$1,IF(D45=Data!$W$8,Data!$QF$1,IF(D45=Data!$W$9,Data!$QF$1,IF(D45=Data!$W$10,Data!$QE$1,IF(D45=Data!$W$11,Data!$QF$1,IF(D45=Data!$W$12,Data!$QF$1,IF(D45=Data!$W$13,Data!$QF$1,IF(D45=Data!$W$14,Data!$QF$1,IF(D45=Data!$W$15,Data!$QF$1,IF(D45=Data!$W$16,Data!$QF$1))))))))))))))</f>
        <v>RollerBracketType2</v>
      </c>
      <c r="BA45" s="40" t="str">
        <f>IF(AND(F45&lt;2130, OR(G45&lt;2100)),Data!$KS$1,Data!$KT$1)</f>
        <v>Small_Tube</v>
      </c>
      <c r="BB45" s="92" t="e">
        <f>MATCH(W45,Data!$LA$1:$LD$1,0)</f>
        <v>#N/A</v>
      </c>
      <c r="BC45" s="92">
        <f>MATCH('Roller Blinds'!BA45,Data!$KZ$2:$KZ$3,0)</f>
        <v>1</v>
      </c>
      <c r="BD45" s="92" t="e">
        <f>INDEX(Data!$LA$2:$LD$3,'Roller Blinds'!BC45,'Roller Blinds'!BB45)</f>
        <v>#N/A</v>
      </c>
      <c r="BG45" s="92" t="b">
        <f>IF(O45=Data!$QK$2,Data!$QL$1,IF(O45=Data!$QK$3,Data!$QM$1,IF(O45=Data!$QK$4,Data!$QN$1,IF(O45=Data!$QK$5,Data!$QO$1,IF(O45=Data!$QK$6,Data!$QP$1,IF(O45=Data!$QK$7,Data!$QQ$1,IF(O45=Data!$QK$8,Data!$QR$1,IF(O45=Data!$QK$9,Data!$QS$1, IF(O45=Data!$QK$10,Data!$QV$1, IF(O45=Data!$QK$11,Data!$QW$1))))))))))</f>
        <v>0</v>
      </c>
      <c r="BH45" s="33" t="b">
        <f>IF(O45=Data!$QK$2,Data!$QL$17,IF(O45=Data!$QK$3,Data!$QM$17,IF(O45=Data!$QK$4,Data!$QN$17,IF(O45=Data!$QK$5,Data!$QO$17,IF(O45=Data!$QK$6,Data!$QP$17,IF(O45=Data!$QK$7,Data!$QQ$17,IF(O45=Data!$QK$8,Data!$QR$17,IF(O45=Data!$QK$9,Data!$QS$17,IF(O45=Data!$QK$10,Data!$QV$17,IF(O45=Data!$QK$11,Data!$QW$17))))))))))</f>
        <v>0</v>
      </c>
      <c r="BI45" s="33" t="e">
        <f>VLOOKUP(O45,Data!$PU$13:$PV$22,2,FALSE)</f>
        <v>#N/A</v>
      </c>
      <c r="BJ45" s="33" t="e">
        <f>MATCH('Roller Blinds'!D45,Data!$YK$2:$YK$15)</f>
        <v>#N/A</v>
      </c>
      <c r="BK45" s="33" t="e">
        <f>MATCH(L45,Data!$YL$1:$YM$1)</f>
        <v>#N/A</v>
      </c>
      <c r="BL45" s="33" t="e">
        <f>INDEX(Data!$YL$2:$YM$15,BJ45,BK45)</f>
        <v>#N/A</v>
      </c>
    </row>
    <row r="46" spans="1:64" ht="30" customHeight="1" thickTop="1" thickBot="1">
      <c r="A46" s="53">
        <v>39</v>
      </c>
      <c r="B46" s="13"/>
      <c r="C46" s="13"/>
      <c r="D46" s="19"/>
      <c r="E46" s="15"/>
      <c r="F46" s="10"/>
      <c r="G46" s="10"/>
      <c r="H46" s="14"/>
      <c r="I46" s="14"/>
      <c r="J46" s="484"/>
      <c r="K46" s="485"/>
      <c r="L46" s="15"/>
      <c r="M46" s="15"/>
      <c r="N46" s="15"/>
      <c r="O46" s="514"/>
      <c r="P46" s="515"/>
      <c r="Q46" s="13"/>
      <c r="R46" s="13"/>
      <c r="S46" s="13"/>
      <c r="T46" s="13"/>
      <c r="U46" s="13"/>
      <c r="V46" s="13"/>
      <c r="W46" s="13"/>
      <c r="X46" s="15"/>
      <c r="Y46" s="16"/>
      <c r="Z46" s="186"/>
      <c r="AA46" s="236"/>
      <c r="AB46" s="237"/>
      <c r="AC46" s="33" t="e">
        <f t="shared" si="0"/>
        <v>#N/A</v>
      </c>
      <c r="AD46" s="33" t="e">
        <f>VLOOKUP(S46,Data!$QH$2:$QI$4,2,FALSE)</f>
        <v>#N/A</v>
      </c>
      <c r="AF46" s="92" t="e">
        <f t="shared" si="1"/>
        <v>#N/A</v>
      </c>
      <c r="AI46" s="92" t="b">
        <f>IF(W46=Data!$KK$2,Data!$KM$1,IF(W46=Data!$KK$3,Data!$KN$1,IF(W46=Data!$KK$4,Data!$KP$1,IF(W46=Data!$KK$5,Data!$KQ$1))))</f>
        <v>0</v>
      </c>
      <c r="AJ46" s="33" t="str">
        <f>IF(D46=Data!$W$10,Data!$QJ$1,Data!$QK$1)</f>
        <v>RollerControl</v>
      </c>
      <c r="AM46" s="33" t="b">
        <f>IF(S46=Data!$PX$2,Data!$PZ$1,IF(S46=Data!$PX$3,Data!$PY$1,IF(S46=Data!$PX$4,Data!$QA$1)))</f>
        <v>0</v>
      </c>
      <c r="AO46" s="33" t="b">
        <f>IF(S46=Data!$PX$3,Data!$QB$1,IF(S46=Data!$PX$2,Data!$QC$1,IF(S46=Data!$PX$4,Data!$QD$1)))</f>
        <v>0</v>
      </c>
      <c r="AQ46" s="33" t="str">
        <f>IF(D46=Data!$W$3,Data!$QF$1,IF(D46=Data!$W$4,Data!$QF$1,IF(D46=Data!$W$5,Data!$QF$1,IF(D46=Data!$W$6,Data!$QF$1,IF(D46=Data!$W$7,Data!$QF$1,IF(D46=Data!$W$8,Data!$QF$1,IF(D46=Data!$W$9,Data!$QF$1,IF(D46=Data!$W$10,Data!$QE$1,IF(D46=Data!$W$11,Data!$QF$1,IF(D46=Data!$W$12,Data!$QF$1,IF(D46=Data!$W$13,Data!$QF$1,IF(D46=Data!$W$14,Data!$QF$1,IF(D46=Data!$W$15,Data!$QF$1,IF(D46=Data!$W$16,Data!$QF$1))))))))))))))</f>
        <v>RollerBracketType2</v>
      </c>
      <c r="BA46" s="40" t="str">
        <f>IF(AND(F46&lt;2130, OR(G46&lt;2100)),Data!$KS$1,Data!$KT$1)</f>
        <v>Small_Tube</v>
      </c>
      <c r="BB46" s="92" t="e">
        <f>MATCH(W46,Data!$LA$1:$LD$1,0)</f>
        <v>#N/A</v>
      </c>
      <c r="BC46" s="92">
        <f>MATCH('Roller Blinds'!BA46,Data!$KZ$2:$KZ$3,0)</f>
        <v>1</v>
      </c>
      <c r="BD46" s="92" t="e">
        <f>INDEX(Data!$LA$2:$LD$3,'Roller Blinds'!BC46,'Roller Blinds'!BB46)</f>
        <v>#N/A</v>
      </c>
      <c r="BG46" s="92" t="b">
        <f>IF(O46=Data!$QK$2,Data!$QL$1,IF(O46=Data!$QK$3,Data!$QM$1,IF(O46=Data!$QK$4,Data!$QN$1,IF(O46=Data!$QK$5,Data!$QO$1,IF(O46=Data!$QK$6,Data!$QP$1,IF(O46=Data!$QK$7,Data!$QQ$1,IF(O46=Data!$QK$8,Data!$QR$1,IF(O46=Data!$QK$9,Data!$QS$1, IF(O46=Data!$QK$10,Data!$QV$1, IF(O46=Data!$QK$11,Data!$QW$1))))))))))</f>
        <v>0</v>
      </c>
      <c r="BH46" s="33" t="b">
        <f>IF(O46=Data!$QK$2,Data!$QL$17,IF(O46=Data!$QK$3,Data!$QM$17,IF(O46=Data!$QK$4,Data!$QN$17,IF(O46=Data!$QK$5,Data!$QO$17,IF(O46=Data!$QK$6,Data!$QP$17,IF(O46=Data!$QK$7,Data!$QQ$17,IF(O46=Data!$QK$8,Data!$QR$17,IF(O46=Data!$QK$9,Data!$QS$17,IF(O46=Data!$QK$10,Data!$QV$17,IF(O46=Data!$QK$11,Data!$QW$17))))))))))</f>
        <v>0</v>
      </c>
      <c r="BI46" s="33" t="e">
        <f>VLOOKUP(O46,Data!$PU$13:$PV$22,2,FALSE)</f>
        <v>#N/A</v>
      </c>
      <c r="BJ46" s="33" t="e">
        <f>MATCH('Roller Blinds'!D46,Data!$YK$2:$YK$15)</f>
        <v>#N/A</v>
      </c>
      <c r="BK46" s="33" t="e">
        <f>MATCH(L46,Data!$YL$1:$YM$1)</f>
        <v>#N/A</v>
      </c>
      <c r="BL46" s="33" t="e">
        <f>INDEX(Data!$YL$2:$YM$15,BJ46,BK46)</f>
        <v>#N/A</v>
      </c>
    </row>
    <row r="47" spans="1:64" ht="30" customHeight="1" thickTop="1" thickBot="1">
      <c r="A47" s="53">
        <v>40</v>
      </c>
      <c r="B47" s="13"/>
      <c r="C47" s="13"/>
      <c r="D47" s="19"/>
      <c r="E47" s="15"/>
      <c r="F47" s="10"/>
      <c r="G47" s="10"/>
      <c r="H47" s="14"/>
      <c r="I47" s="14"/>
      <c r="J47" s="484"/>
      <c r="K47" s="485"/>
      <c r="L47" s="15"/>
      <c r="M47" s="15"/>
      <c r="N47" s="15"/>
      <c r="O47" s="514"/>
      <c r="P47" s="515"/>
      <c r="Q47" s="13"/>
      <c r="R47" s="13"/>
      <c r="S47" s="13"/>
      <c r="T47" s="13"/>
      <c r="U47" s="13"/>
      <c r="V47" s="13"/>
      <c r="W47" s="13"/>
      <c r="X47" s="15"/>
      <c r="Y47" s="16"/>
      <c r="Z47" s="186"/>
      <c r="AA47" s="236"/>
      <c r="AB47" s="237"/>
      <c r="AC47" s="33" t="e">
        <f t="shared" si="0"/>
        <v>#N/A</v>
      </c>
      <c r="AD47" s="33" t="e">
        <f>VLOOKUP(S47,Data!$QH$2:$QI$4,2,FALSE)</f>
        <v>#N/A</v>
      </c>
      <c r="AF47" s="92" t="e">
        <f t="shared" si="1"/>
        <v>#N/A</v>
      </c>
      <c r="AI47" s="92" t="b">
        <f>IF(W47=Data!$KK$2,Data!$KM$1,IF(W47=Data!$KK$3,Data!$KN$1,IF(W47=Data!$KK$4,Data!$KP$1,IF(W47=Data!$KK$5,Data!$KQ$1))))</f>
        <v>0</v>
      </c>
      <c r="AJ47" s="33" t="str">
        <f>IF(D47=Data!$W$10,Data!$QJ$1,Data!$QK$1)</f>
        <v>RollerControl</v>
      </c>
      <c r="AM47" s="33" t="b">
        <f>IF(S47=Data!$PX$2,Data!$PZ$1,IF(S47=Data!$PX$3,Data!$PY$1,IF(S47=Data!$PX$4,Data!$QA$1)))</f>
        <v>0</v>
      </c>
      <c r="AO47" s="33" t="b">
        <f>IF(S47=Data!$PX$3,Data!$QB$1,IF(S47=Data!$PX$2,Data!$QC$1,IF(S47=Data!$PX$4,Data!$QD$1)))</f>
        <v>0</v>
      </c>
      <c r="AQ47" s="33" t="str">
        <f>IF(D47=Data!$W$3,Data!$QF$1,IF(D47=Data!$W$4,Data!$QF$1,IF(D47=Data!$W$5,Data!$QF$1,IF(D47=Data!$W$6,Data!$QF$1,IF(D47=Data!$W$7,Data!$QF$1,IF(D47=Data!$W$8,Data!$QF$1,IF(D47=Data!$W$9,Data!$QF$1,IF(D47=Data!$W$10,Data!$QE$1,IF(D47=Data!$W$11,Data!$QF$1,IF(D47=Data!$W$12,Data!$QF$1,IF(D47=Data!$W$13,Data!$QF$1,IF(D47=Data!$W$14,Data!$QF$1,IF(D47=Data!$W$15,Data!$QF$1,IF(D47=Data!$W$16,Data!$QF$1))))))))))))))</f>
        <v>RollerBracketType2</v>
      </c>
      <c r="BA47" s="40" t="str">
        <f>IF(AND(F47&lt;2130, OR(G47&lt;2100)),Data!$KS$1,Data!$KT$1)</f>
        <v>Small_Tube</v>
      </c>
      <c r="BB47" s="92" t="e">
        <f>MATCH(W47,Data!$LA$1:$LD$1,0)</f>
        <v>#N/A</v>
      </c>
      <c r="BC47" s="92">
        <f>MATCH('Roller Blinds'!BA47,Data!$KZ$2:$KZ$3,0)</f>
        <v>1</v>
      </c>
      <c r="BD47" s="92" t="e">
        <f>INDEX(Data!$LA$2:$LD$3,'Roller Blinds'!BC47,'Roller Blinds'!BB47)</f>
        <v>#N/A</v>
      </c>
      <c r="BG47" s="92" t="b">
        <f>IF(O47=Data!$QK$2,Data!$QL$1,IF(O47=Data!$QK$3,Data!$QM$1,IF(O47=Data!$QK$4,Data!$QN$1,IF(O47=Data!$QK$5,Data!$QO$1,IF(O47=Data!$QK$6,Data!$QP$1,IF(O47=Data!$QK$7,Data!$QQ$1,IF(O47=Data!$QK$8,Data!$QR$1,IF(O47=Data!$QK$9,Data!$QS$1, IF(O47=Data!$QK$10,Data!$QV$1, IF(O47=Data!$QK$11,Data!$QW$1))))))))))</f>
        <v>0</v>
      </c>
      <c r="BH47" s="33" t="b">
        <f>IF(O47=Data!$QK$2,Data!$QL$17,IF(O47=Data!$QK$3,Data!$QM$17,IF(O47=Data!$QK$4,Data!$QN$17,IF(O47=Data!$QK$5,Data!$QO$17,IF(O47=Data!$QK$6,Data!$QP$17,IF(O47=Data!$QK$7,Data!$QQ$17,IF(O47=Data!$QK$8,Data!$QR$17,IF(O47=Data!$QK$9,Data!$QS$17,IF(O47=Data!$QK$10,Data!$QV$17,IF(O47=Data!$QK$11,Data!$QW$17))))))))))</f>
        <v>0</v>
      </c>
      <c r="BI47" s="33" t="e">
        <f>VLOOKUP(O47,Data!$PU$13:$PV$22,2,FALSE)</f>
        <v>#N/A</v>
      </c>
      <c r="BJ47" s="33" t="e">
        <f>MATCH('Roller Blinds'!D47,Data!$YK$2:$YK$15)</f>
        <v>#N/A</v>
      </c>
      <c r="BK47" s="33" t="e">
        <f>MATCH(L47,Data!$YL$1:$YM$1)</f>
        <v>#N/A</v>
      </c>
      <c r="BL47" s="33" t="e">
        <f>INDEX(Data!$YL$2:$YM$15,BJ47,BK47)</f>
        <v>#N/A</v>
      </c>
    </row>
    <row r="48" spans="1:64" ht="30" customHeight="1" thickTop="1" thickBot="1">
      <c r="A48" s="53">
        <v>41</v>
      </c>
      <c r="B48" s="13"/>
      <c r="C48" s="13"/>
      <c r="D48" s="19"/>
      <c r="E48" s="15"/>
      <c r="F48" s="10"/>
      <c r="G48" s="10"/>
      <c r="H48" s="14"/>
      <c r="I48" s="14"/>
      <c r="J48" s="484"/>
      <c r="K48" s="485"/>
      <c r="L48" s="15"/>
      <c r="M48" s="15"/>
      <c r="N48" s="15"/>
      <c r="O48" s="514"/>
      <c r="P48" s="515"/>
      <c r="Q48" s="13"/>
      <c r="R48" s="13"/>
      <c r="S48" s="13"/>
      <c r="T48" s="13"/>
      <c r="U48" s="13"/>
      <c r="V48" s="13"/>
      <c r="W48" s="13"/>
      <c r="X48" s="15"/>
      <c r="Y48" s="16"/>
      <c r="Z48" s="186"/>
      <c r="AA48" s="236"/>
      <c r="AB48" s="237"/>
      <c r="AC48" s="33" t="e">
        <f t="shared" si="0"/>
        <v>#N/A</v>
      </c>
      <c r="AD48" s="33" t="e">
        <f>VLOOKUP(S48,Data!$QH$2:$QI$4,2,FALSE)</f>
        <v>#N/A</v>
      </c>
      <c r="AF48" s="92" t="e">
        <f t="shared" si="1"/>
        <v>#N/A</v>
      </c>
      <c r="AI48" s="92" t="b">
        <f>IF(W48=Data!$KK$2,Data!$KM$1,IF(W48=Data!$KK$3,Data!$KN$1,IF(W48=Data!$KK$4,Data!$KP$1,IF(W48=Data!$KK$5,Data!$KQ$1))))</f>
        <v>0</v>
      </c>
      <c r="AJ48" s="33" t="str">
        <f>IF(D48=Data!$W$10,Data!$QJ$1,Data!$QK$1)</f>
        <v>RollerControl</v>
      </c>
      <c r="AM48" s="33" t="b">
        <f>IF(S48=Data!$PX$2,Data!$PZ$1,IF(S48=Data!$PX$3,Data!$PY$1,IF(S48=Data!$PX$4,Data!$QA$1)))</f>
        <v>0</v>
      </c>
      <c r="AO48" s="33" t="b">
        <f>IF(S48=Data!$PX$3,Data!$QB$1,IF(S48=Data!$PX$2,Data!$QC$1,IF(S48=Data!$PX$4,Data!$QD$1)))</f>
        <v>0</v>
      </c>
      <c r="AQ48" s="33" t="str">
        <f>IF(D48=Data!$W$3,Data!$QF$1,IF(D48=Data!$W$4,Data!$QF$1,IF(D48=Data!$W$5,Data!$QF$1,IF(D48=Data!$W$6,Data!$QF$1,IF(D48=Data!$W$7,Data!$QF$1,IF(D48=Data!$W$8,Data!$QF$1,IF(D48=Data!$W$9,Data!$QF$1,IF(D48=Data!$W$10,Data!$QE$1,IF(D48=Data!$W$11,Data!$QF$1,IF(D48=Data!$W$12,Data!$QF$1,IF(D48=Data!$W$13,Data!$QF$1,IF(D48=Data!$W$14,Data!$QF$1,IF(D48=Data!$W$15,Data!$QF$1,IF(D48=Data!$W$16,Data!$QF$1))))))))))))))</f>
        <v>RollerBracketType2</v>
      </c>
      <c r="BA48" s="40" t="str">
        <f>IF(AND(F48&lt;2130, OR(G48&lt;2100)),Data!$KS$1,Data!$KT$1)</f>
        <v>Small_Tube</v>
      </c>
      <c r="BB48" s="92" t="e">
        <f>MATCH(W48,Data!$LA$1:$LD$1,0)</f>
        <v>#N/A</v>
      </c>
      <c r="BC48" s="92">
        <f>MATCH('Roller Blinds'!BA48,Data!$KZ$2:$KZ$3,0)</f>
        <v>1</v>
      </c>
      <c r="BD48" s="92" t="e">
        <f>INDEX(Data!$LA$2:$LD$3,'Roller Blinds'!BC48,'Roller Blinds'!BB48)</f>
        <v>#N/A</v>
      </c>
      <c r="BG48" s="92" t="b">
        <f>IF(O48=Data!$QK$2,Data!$QL$1,IF(O48=Data!$QK$3,Data!$QM$1,IF(O48=Data!$QK$4,Data!$QN$1,IF(O48=Data!$QK$5,Data!$QO$1,IF(O48=Data!$QK$6,Data!$QP$1,IF(O48=Data!$QK$7,Data!$QQ$1,IF(O48=Data!$QK$8,Data!$QR$1,IF(O48=Data!$QK$9,Data!$QS$1, IF(O48=Data!$QK$10,Data!$QV$1, IF(O48=Data!$QK$11,Data!$QW$1))))))))))</f>
        <v>0</v>
      </c>
      <c r="BH48" s="33" t="b">
        <f>IF(O48=Data!$QK$2,Data!$QL$17,IF(O48=Data!$QK$3,Data!$QM$17,IF(O48=Data!$QK$4,Data!$QN$17,IF(O48=Data!$QK$5,Data!$QO$17,IF(O48=Data!$QK$6,Data!$QP$17,IF(O48=Data!$QK$7,Data!$QQ$17,IF(O48=Data!$QK$8,Data!$QR$17,IF(O48=Data!$QK$9,Data!$QS$17,IF(O48=Data!$QK$10,Data!$QV$17,IF(O48=Data!$QK$11,Data!$QW$17))))))))))</f>
        <v>0</v>
      </c>
      <c r="BI48" s="33" t="e">
        <f>VLOOKUP(O48,Data!$PU$13:$PV$22,2,FALSE)</f>
        <v>#N/A</v>
      </c>
      <c r="BJ48" s="33" t="e">
        <f>MATCH('Roller Blinds'!D48,Data!$YK$2:$YK$15)</f>
        <v>#N/A</v>
      </c>
      <c r="BK48" s="33" t="e">
        <f>MATCH(L48,Data!$YL$1:$YM$1)</f>
        <v>#N/A</v>
      </c>
      <c r="BL48" s="33" t="e">
        <f>INDEX(Data!$YL$2:$YM$15,BJ48,BK48)</f>
        <v>#N/A</v>
      </c>
    </row>
    <row r="49" spans="1:64" ht="30" customHeight="1" thickTop="1" thickBot="1">
      <c r="A49" s="53">
        <v>42</v>
      </c>
      <c r="B49" s="13"/>
      <c r="C49" s="13"/>
      <c r="D49" s="19"/>
      <c r="E49" s="15"/>
      <c r="F49" s="10"/>
      <c r="G49" s="10"/>
      <c r="H49" s="14"/>
      <c r="I49" s="14"/>
      <c r="J49" s="484"/>
      <c r="K49" s="485"/>
      <c r="L49" s="15"/>
      <c r="M49" s="15"/>
      <c r="N49" s="15"/>
      <c r="O49" s="514"/>
      <c r="P49" s="515"/>
      <c r="Q49" s="13"/>
      <c r="R49" s="13"/>
      <c r="S49" s="13"/>
      <c r="T49" s="13"/>
      <c r="U49" s="13"/>
      <c r="V49" s="13"/>
      <c r="W49" s="13"/>
      <c r="X49" s="15"/>
      <c r="Y49" s="16"/>
      <c r="Z49" s="186"/>
      <c r="AA49" s="236"/>
      <c r="AB49" s="237"/>
      <c r="AC49" s="33" t="e">
        <f t="shared" si="0"/>
        <v>#N/A</v>
      </c>
      <c r="AD49" s="33" t="e">
        <f>VLOOKUP(S49,Data!$QH$2:$QI$4,2,FALSE)</f>
        <v>#N/A</v>
      </c>
      <c r="AF49" s="92" t="e">
        <f t="shared" si="1"/>
        <v>#N/A</v>
      </c>
      <c r="AI49" s="92" t="b">
        <f>IF(W49=Data!$KK$2,Data!$KM$1,IF(W49=Data!$KK$3,Data!$KN$1,IF(W49=Data!$KK$4,Data!$KP$1,IF(W49=Data!$KK$5,Data!$KQ$1))))</f>
        <v>0</v>
      </c>
      <c r="AJ49" s="33" t="str">
        <f>IF(D49=Data!$W$10,Data!$QJ$1,Data!$QK$1)</f>
        <v>RollerControl</v>
      </c>
      <c r="AM49" s="33" t="b">
        <f>IF(S49=Data!$PX$2,Data!$PZ$1,IF(S49=Data!$PX$3,Data!$PY$1,IF(S49=Data!$PX$4,Data!$QA$1)))</f>
        <v>0</v>
      </c>
      <c r="AO49" s="33" t="b">
        <f>IF(S49=Data!$PX$3,Data!$QB$1,IF(S49=Data!$PX$2,Data!$QC$1,IF(S49=Data!$PX$4,Data!$QD$1)))</f>
        <v>0</v>
      </c>
      <c r="AQ49" s="33" t="str">
        <f>IF(D49=Data!$W$3,Data!$QF$1,IF(D49=Data!$W$4,Data!$QF$1,IF(D49=Data!$W$5,Data!$QF$1,IF(D49=Data!$W$6,Data!$QF$1,IF(D49=Data!$W$7,Data!$QF$1,IF(D49=Data!$W$8,Data!$QF$1,IF(D49=Data!$W$9,Data!$QF$1,IF(D49=Data!$W$10,Data!$QE$1,IF(D49=Data!$W$11,Data!$QF$1,IF(D49=Data!$W$12,Data!$QF$1,IF(D49=Data!$W$13,Data!$QF$1,IF(D49=Data!$W$14,Data!$QF$1,IF(D49=Data!$W$15,Data!$QF$1,IF(D49=Data!$W$16,Data!$QF$1))))))))))))))</f>
        <v>RollerBracketType2</v>
      </c>
      <c r="BA49" s="40" t="str">
        <f>IF(AND(F49&lt;2130, OR(G49&lt;2100)),Data!$KS$1,Data!$KT$1)</f>
        <v>Small_Tube</v>
      </c>
      <c r="BB49" s="92" t="e">
        <f>MATCH(W49,Data!$LA$1:$LD$1,0)</f>
        <v>#N/A</v>
      </c>
      <c r="BC49" s="92">
        <f>MATCH('Roller Blinds'!BA49,Data!$KZ$2:$KZ$3,0)</f>
        <v>1</v>
      </c>
      <c r="BD49" s="92" t="e">
        <f>INDEX(Data!$LA$2:$LD$3,'Roller Blinds'!BC49,'Roller Blinds'!BB49)</f>
        <v>#N/A</v>
      </c>
      <c r="BG49" s="92" t="b">
        <f>IF(O49=Data!$QK$2,Data!$QL$1,IF(O49=Data!$QK$3,Data!$QM$1,IF(O49=Data!$QK$4,Data!$QN$1,IF(O49=Data!$QK$5,Data!$QO$1,IF(O49=Data!$QK$6,Data!$QP$1,IF(O49=Data!$QK$7,Data!$QQ$1,IF(O49=Data!$QK$8,Data!$QR$1,IF(O49=Data!$QK$9,Data!$QS$1, IF(O49=Data!$QK$10,Data!$QV$1, IF(O49=Data!$QK$11,Data!$QW$1))))))))))</f>
        <v>0</v>
      </c>
      <c r="BH49" s="33" t="b">
        <f>IF(O49=Data!$QK$2,Data!$QL$17,IF(O49=Data!$QK$3,Data!$QM$17,IF(O49=Data!$QK$4,Data!$QN$17,IF(O49=Data!$QK$5,Data!$QO$17,IF(O49=Data!$QK$6,Data!$QP$17,IF(O49=Data!$QK$7,Data!$QQ$17,IF(O49=Data!$QK$8,Data!$QR$17,IF(O49=Data!$QK$9,Data!$QS$17,IF(O49=Data!$QK$10,Data!$QV$17,IF(O49=Data!$QK$11,Data!$QW$17))))))))))</f>
        <v>0</v>
      </c>
      <c r="BI49" s="33" t="e">
        <f>VLOOKUP(O49,Data!$PU$13:$PV$22,2,FALSE)</f>
        <v>#N/A</v>
      </c>
      <c r="BJ49" s="33" t="e">
        <f>MATCH('Roller Blinds'!D49,Data!$YK$2:$YK$15)</f>
        <v>#N/A</v>
      </c>
      <c r="BK49" s="33" t="e">
        <f>MATCH(L49,Data!$YL$1:$YM$1)</f>
        <v>#N/A</v>
      </c>
      <c r="BL49" s="33" t="e">
        <f>INDEX(Data!$YL$2:$YM$15,BJ49,BK49)</f>
        <v>#N/A</v>
      </c>
    </row>
    <row r="50" spans="1:64" ht="30" customHeight="1" thickTop="1" thickBot="1">
      <c r="A50" s="53">
        <v>43</v>
      </c>
      <c r="B50" s="13"/>
      <c r="C50" s="13"/>
      <c r="D50" s="19"/>
      <c r="E50" s="15"/>
      <c r="F50" s="10"/>
      <c r="G50" s="10"/>
      <c r="H50" s="14"/>
      <c r="I50" s="14"/>
      <c r="J50" s="484"/>
      <c r="K50" s="485"/>
      <c r="L50" s="15"/>
      <c r="M50" s="15"/>
      <c r="N50" s="15"/>
      <c r="O50" s="514"/>
      <c r="P50" s="515"/>
      <c r="Q50" s="13"/>
      <c r="R50" s="13"/>
      <c r="S50" s="13"/>
      <c r="T50" s="13"/>
      <c r="U50" s="13"/>
      <c r="V50" s="13"/>
      <c r="W50" s="13"/>
      <c r="X50" s="15"/>
      <c r="Y50" s="16"/>
      <c r="Z50" s="186"/>
      <c r="AA50" s="236"/>
      <c r="AB50" s="237"/>
      <c r="AC50" s="33" t="e">
        <f t="shared" si="0"/>
        <v>#N/A</v>
      </c>
      <c r="AD50" s="33" t="e">
        <f>VLOOKUP(S50,Data!$QH$2:$QI$4,2,FALSE)</f>
        <v>#N/A</v>
      </c>
      <c r="AF50" s="92" t="e">
        <f t="shared" si="1"/>
        <v>#N/A</v>
      </c>
      <c r="AI50" s="92" t="b">
        <f>IF(W50=Data!$KK$2,Data!$KM$1,IF(W50=Data!$KK$3,Data!$KN$1,IF(W50=Data!$KK$4,Data!$KP$1,IF(W50=Data!$KK$5,Data!$KQ$1))))</f>
        <v>0</v>
      </c>
      <c r="AJ50" s="33" t="str">
        <f>IF(D50=Data!$W$10,Data!$QJ$1,Data!$QK$1)</f>
        <v>RollerControl</v>
      </c>
      <c r="AM50" s="33" t="b">
        <f>IF(S50=Data!$PX$2,Data!$PZ$1,IF(S50=Data!$PX$3,Data!$PY$1,IF(S50=Data!$PX$4,Data!$QA$1)))</f>
        <v>0</v>
      </c>
      <c r="AO50" s="33" t="b">
        <f>IF(S50=Data!$PX$3,Data!$QB$1,IF(S50=Data!$PX$2,Data!$QC$1,IF(S50=Data!$PX$4,Data!$QD$1)))</f>
        <v>0</v>
      </c>
      <c r="AQ50" s="33" t="str">
        <f>IF(D50=Data!$W$3,Data!$QF$1,IF(D50=Data!$W$4,Data!$QF$1,IF(D50=Data!$W$5,Data!$QF$1,IF(D50=Data!$W$6,Data!$QF$1,IF(D50=Data!$W$7,Data!$QF$1,IF(D50=Data!$W$8,Data!$QF$1,IF(D50=Data!$W$9,Data!$QF$1,IF(D50=Data!$W$10,Data!$QE$1,IF(D50=Data!$W$11,Data!$QF$1,IF(D50=Data!$W$12,Data!$QF$1,IF(D50=Data!$W$13,Data!$QF$1,IF(D50=Data!$W$14,Data!$QF$1,IF(D50=Data!$W$15,Data!$QF$1,IF(D50=Data!$W$16,Data!$QF$1))))))))))))))</f>
        <v>RollerBracketType2</v>
      </c>
      <c r="BA50" s="40" t="str">
        <f>IF(AND(F50&lt;2130, OR(G50&lt;2100)),Data!$KS$1,Data!$KT$1)</f>
        <v>Small_Tube</v>
      </c>
      <c r="BB50" s="92" t="e">
        <f>MATCH(W50,Data!$LA$1:$LD$1,0)</f>
        <v>#N/A</v>
      </c>
      <c r="BC50" s="92">
        <f>MATCH('Roller Blinds'!BA50,Data!$KZ$2:$KZ$3,0)</f>
        <v>1</v>
      </c>
      <c r="BD50" s="92" t="e">
        <f>INDEX(Data!$LA$2:$LD$3,'Roller Blinds'!BC50,'Roller Blinds'!BB50)</f>
        <v>#N/A</v>
      </c>
      <c r="BG50" s="92" t="b">
        <f>IF(O50=Data!$QK$2,Data!$QL$1,IF(O50=Data!$QK$3,Data!$QM$1,IF(O50=Data!$QK$4,Data!$QN$1,IF(O50=Data!$QK$5,Data!$QO$1,IF(O50=Data!$QK$6,Data!$QP$1,IF(O50=Data!$QK$7,Data!$QQ$1,IF(O50=Data!$QK$8,Data!$QR$1,IF(O50=Data!$QK$9,Data!$QS$1, IF(O50=Data!$QK$10,Data!$QV$1, IF(O50=Data!$QK$11,Data!$QW$1))))))))))</f>
        <v>0</v>
      </c>
      <c r="BH50" s="33" t="b">
        <f>IF(O50=Data!$QK$2,Data!$QL$17,IF(O50=Data!$QK$3,Data!$QM$17,IF(O50=Data!$QK$4,Data!$QN$17,IF(O50=Data!$QK$5,Data!$QO$17,IF(O50=Data!$QK$6,Data!$QP$17,IF(O50=Data!$QK$7,Data!$QQ$17,IF(O50=Data!$QK$8,Data!$QR$17,IF(O50=Data!$QK$9,Data!$QS$17,IF(O50=Data!$QK$10,Data!$QV$17,IF(O50=Data!$QK$11,Data!$QW$17))))))))))</f>
        <v>0</v>
      </c>
      <c r="BI50" s="33" t="e">
        <f>VLOOKUP(O50,Data!$PU$13:$PV$22,2,FALSE)</f>
        <v>#N/A</v>
      </c>
      <c r="BJ50" s="33" t="e">
        <f>MATCH('Roller Blinds'!D50,Data!$YK$2:$YK$15)</f>
        <v>#N/A</v>
      </c>
      <c r="BK50" s="33" t="e">
        <f>MATCH(L50,Data!$YL$1:$YM$1)</f>
        <v>#N/A</v>
      </c>
      <c r="BL50" s="33" t="e">
        <f>INDEX(Data!$YL$2:$YM$15,BJ50,BK50)</f>
        <v>#N/A</v>
      </c>
    </row>
    <row r="51" spans="1:64" ht="30" customHeight="1" thickTop="1" thickBot="1">
      <c r="A51" s="53">
        <v>44</v>
      </c>
      <c r="B51" s="13"/>
      <c r="C51" s="13"/>
      <c r="D51" s="19"/>
      <c r="E51" s="15"/>
      <c r="F51" s="10"/>
      <c r="G51" s="10"/>
      <c r="H51" s="14"/>
      <c r="I51" s="14"/>
      <c r="J51" s="484"/>
      <c r="K51" s="485"/>
      <c r="L51" s="15"/>
      <c r="M51" s="15"/>
      <c r="N51" s="15"/>
      <c r="O51" s="514"/>
      <c r="P51" s="515"/>
      <c r="Q51" s="13"/>
      <c r="R51" s="13"/>
      <c r="S51" s="13"/>
      <c r="T51" s="13"/>
      <c r="U51" s="13"/>
      <c r="V51" s="13"/>
      <c r="W51" s="13"/>
      <c r="X51" s="15"/>
      <c r="Y51" s="16"/>
      <c r="Z51" s="186"/>
      <c r="AA51" s="236"/>
      <c r="AB51" s="237"/>
      <c r="AC51" s="33" t="e">
        <f t="shared" si="0"/>
        <v>#N/A</v>
      </c>
      <c r="AD51" s="33" t="e">
        <f>VLOOKUP(S51,Data!$QH$2:$QI$4,2,FALSE)</f>
        <v>#N/A</v>
      </c>
      <c r="AF51" s="92" t="e">
        <f t="shared" si="1"/>
        <v>#N/A</v>
      </c>
      <c r="AI51" s="92" t="b">
        <f>IF(W51=Data!$KK$2,Data!$KM$1,IF(W51=Data!$KK$3,Data!$KN$1,IF(W51=Data!$KK$4,Data!$KP$1,IF(W51=Data!$KK$5,Data!$KQ$1))))</f>
        <v>0</v>
      </c>
      <c r="AJ51" s="33" t="str">
        <f>IF(D51=Data!$W$10,Data!$QJ$1,Data!$QK$1)</f>
        <v>RollerControl</v>
      </c>
      <c r="AM51" s="33" t="b">
        <f>IF(S51=Data!$PX$2,Data!$PZ$1,IF(S51=Data!$PX$3,Data!$PY$1,IF(S51=Data!$PX$4,Data!$QA$1)))</f>
        <v>0</v>
      </c>
      <c r="AO51" s="33" t="b">
        <f>IF(S51=Data!$PX$3,Data!$QB$1,IF(S51=Data!$PX$2,Data!$QC$1,IF(S51=Data!$PX$4,Data!$QD$1)))</f>
        <v>0</v>
      </c>
      <c r="AQ51" s="33" t="str">
        <f>IF(D51=Data!$W$3,Data!$QF$1,IF(D51=Data!$W$4,Data!$QF$1,IF(D51=Data!$W$5,Data!$QF$1,IF(D51=Data!$W$6,Data!$QF$1,IF(D51=Data!$W$7,Data!$QF$1,IF(D51=Data!$W$8,Data!$QF$1,IF(D51=Data!$W$9,Data!$QF$1,IF(D51=Data!$W$10,Data!$QE$1,IF(D51=Data!$W$11,Data!$QF$1,IF(D51=Data!$W$12,Data!$QF$1,IF(D51=Data!$W$13,Data!$QF$1,IF(D51=Data!$W$14,Data!$QF$1,IF(D51=Data!$W$15,Data!$QF$1,IF(D51=Data!$W$16,Data!$QF$1))))))))))))))</f>
        <v>RollerBracketType2</v>
      </c>
      <c r="BA51" s="40" t="str">
        <f>IF(AND(F51&lt;2130, OR(G51&lt;2100)),Data!$KS$1,Data!$KT$1)</f>
        <v>Small_Tube</v>
      </c>
      <c r="BB51" s="92" t="e">
        <f>MATCH(W51,Data!$LA$1:$LD$1,0)</f>
        <v>#N/A</v>
      </c>
      <c r="BC51" s="92">
        <f>MATCH('Roller Blinds'!BA51,Data!$KZ$2:$KZ$3,0)</f>
        <v>1</v>
      </c>
      <c r="BD51" s="92" t="e">
        <f>INDEX(Data!$LA$2:$LD$3,'Roller Blinds'!BC51,'Roller Blinds'!BB51)</f>
        <v>#N/A</v>
      </c>
      <c r="BG51" s="92" t="b">
        <f>IF(O51=Data!$QK$2,Data!$QL$1,IF(O51=Data!$QK$3,Data!$QM$1,IF(O51=Data!$QK$4,Data!$QN$1,IF(O51=Data!$QK$5,Data!$QO$1,IF(O51=Data!$QK$6,Data!$QP$1,IF(O51=Data!$QK$7,Data!$QQ$1,IF(O51=Data!$QK$8,Data!$QR$1,IF(O51=Data!$QK$9,Data!$QS$1, IF(O51=Data!$QK$10,Data!$QV$1, IF(O51=Data!$QK$11,Data!$QW$1))))))))))</f>
        <v>0</v>
      </c>
      <c r="BH51" s="33" t="b">
        <f>IF(O51=Data!$QK$2,Data!$QL$17,IF(O51=Data!$QK$3,Data!$QM$17,IF(O51=Data!$QK$4,Data!$QN$17,IF(O51=Data!$QK$5,Data!$QO$17,IF(O51=Data!$QK$6,Data!$QP$17,IF(O51=Data!$QK$7,Data!$QQ$17,IF(O51=Data!$QK$8,Data!$QR$17,IF(O51=Data!$QK$9,Data!$QS$17,IF(O51=Data!$QK$10,Data!$QV$17,IF(O51=Data!$QK$11,Data!$QW$17))))))))))</f>
        <v>0</v>
      </c>
      <c r="BI51" s="33" t="e">
        <f>VLOOKUP(O51,Data!$PU$13:$PV$22,2,FALSE)</f>
        <v>#N/A</v>
      </c>
      <c r="BJ51" s="33" t="e">
        <f>MATCH('Roller Blinds'!D51,Data!$YK$2:$YK$15)</f>
        <v>#N/A</v>
      </c>
      <c r="BK51" s="33" t="e">
        <f>MATCH(L51,Data!$YL$1:$YM$1)</f>
        <v>#N/A</v>
      </c>
      <c r="BL51" s="33" t="e">
        <f>INDEX(Data!$YL$2:$YM$15,BJ51,BK51)</f>
        <v>#N/A</v>
      </c>
    </row>
    <row r="52" spans="1:64" ht="30" customHeight="1" thickTop="1" thickBot="1">
      <c r="A52" s="53">
        <v>45</v>
      </c>
      <c r="B52" s="13"/>
      <c r="C52" s="13"/>
      <c r="D52" s="19"/>
      <c r="E52" s="15"/>
      <c r="F52" s="10"/>
      <c r="G52" s="10"/>
      <c r="H52" s="14"/>
      <c r="I52" s="14"/>
      <c r="J52" s="484"/>
      <c r="K52" s="485"/>
      <c r="L52" s="15"/>
      <c r="M52" s="15"/>
      <c r="N52" s="15"/>
      <c r="O52" s="514"/>
      <c r="P52" s="515"/>
      <c r="Q52" s="13"/>
      <c r="R52" s="13"/>
      <c r="S52" s="13"/>
      <c r="T52" s="13"/>
      <c r="U52" s="13"/>
      <c r="V52" s="13"/>
      <c r="W52" s="13"/>
      <c r="X52" s="15"/>
      <c r="Y52" s="16"/>
      <c r="Z52" s="186"/>
      <c r="AA52" s="236"/>
      <c r="AB52" s="237"/>
      <c r="AC52" s="33" t="e">
        <f t="shared" si="0"/>
        <v>#N/A</v>
      </c>
      <c r="AD52" s="33" t="e">
        <f>VLOOKUP(S52,Data!$QH$2:$QI$4,2,FALSE)</f>
        <v>#N/A</v>
      </c>
      <c r="AF52" s="92" t="e">
        <f t="shared" si="1"/>
        <v>#N/A</v>
      </c>
      <c r="AI52" s="92" t="b">
        <f>IF(W52=Data!$KK$2,Data!$KM$1,IF(W52=Data!$KK$3,Data!$KN$1,IF(W52=Data!$KK$4,Data!$KP$1,IF(W52=Data!$KK$5,Data!$KQ$1))))</f>
        <v>0</v>
      </c>
      <c r="AJ52" s="33" t="str">
        <f>IF(D52=Data!$W$10,Data!$QJ$1,Data!$QK$1)</f>
        <v>RollerControl</v>
      </c>
      <c r="AM52" s="33" t="b">
        <f>IF(S52=Data!$PX$2,Data!$PZ$1,IF(S52=Data!$PX$3,Data!$PY$1,IF(S52=Data!$PX$4,Data!$QA$1)))</f>
        <v>0</v>
      </c>
      <c r="AO52" s="33" t="b">
        <f>IF(S52=Data!$PX$3,Data!$QB$1,IF(S52=Data!$PX$2,Data!$QC$1,IF(S52=Data!$PX$4,Data!$QD$1)))</f>
        <v>0</v>
      </c>
      <c r="AQ52" s="33" t="str">
        <f>IF(D52=Data!$W$3,Data!$QF$1,IF(D52=Data!$W$4,Data!$QF$1,IF(D52=Data!$W$5,Data!$QF$1,IF(D52=Data!$W$6,Data!$QF$1,IF(D52=Data!$W$7,Data!$QF$1,IF(D52=Data!$W$8,Data!$QF$1,IF(D52=Data!$W$9,Data!$QF$1,IF(D52=Data!$W$10,Data!$QE$1,IF(D52=Data!$W$11,Data!$QF$1,IF(D52=Data!$W$12,Data!$QF$1,IF(D52=Data!$W$13,Data!$QF$1,IF(D52=Data!$W$14,Data!$QF$1,IF(D52=Data!$W$15,Data!$QF$1,IF(D52=Data!$W$16,Data!$QF$1))))))))))))))</f>
        <v>RollerBracketType2</v>
      </c>
      <c r="BA52" s="40" t="str">
        <f>IF(AND(F52&lt;2130, OR(G52&lt;2100)),Data!$KS$1,Data!$KT$1)</f>
        <v>Small_Tube</v>
      </c>
      <c r="BB52" s="92" t="e">
        <f>MATCH(W52,Data!$LA$1:$LD$1,0)</f>
        <v>#N/A</v>
      </c>
      <c r="BC52" s="92">
        <f>MATCH('Roller Blinds'!BA52,Data!$KZ$2:$KZ$3,0)</f>
        <v>1</v>
      </c>
      <c r="BD52" s="92" t="e">
        <f>INDEX(Data!$LA$2:$LD$3,'Roller Blinds'!BC52,'Roller Blinds'!BB52)</f>
        <v>#N/A</v>
      </c>
      <c r="BG52" s="92" t="b">
        <f>IF(O52=Data!$QK$2,Data!$QL$1,IF(O52=Data!$QK$3,Data!$QM$1,IF(O52=Data!$QK$4,Data!$QN$1,IF(O52=Data!$QK$5,Data!$QO$1,IF(O52=Data!$QK$6,Data!$QP$1,IF(O52=Data!$QK$7,Data!$QQ$1,IF(O52=Data!$QK$8,Data!$QR$1,IF(O52=Data!$QK$9,Data!$QS$1, IF(O52=Data!$QK$10,Data!$QV$1, IF(O52=Data!$QK$11,Data!$QW$1))))))))))</f>
        <v>0</v>
      </c>
      <c r="BH52" s="33" t="b">
        <f>IF(O52=Data!$QK$2,Data!$QL$17,IF(O52=Data!$QK$3,Data!$QM$17,IF(O52=Data!$QK$4,Data!$QN$17,IF(O52=Data!$QK$5,Data!$QO$17,IF(O52=Data!$QK$6,Data!$QP$17,IF(O52=Data!$QK$7,Data!$QQ$17,IF(O52=Data!$QK$8,Data!$QR$17,IF(O52=Data!$QK$9,Data!$QS$17,IF(O52=Data!$QK$10,Data!$QV$17,IF(O52=Data!$QK$11,Data!$QW$17))))))))))</f>
        <v>0</v>
      </c>
      <c r="BI52" s="33" t="e">
        <f>VLOOKUP(O52,Data!$PU$13:$PV$22,2,FALSE)</f>
        <v>#N/A</v>
      </c>
      <c r="BJ52" s="33" t="e">
        <f>MATCH('Roller Blinds'!D52,Data!$YK$2:$YK$15)</f>
        <v>#N/A</v>
      </c>
      <c r="BK52" s="33" t="e">
        <f>MATCH(L52,Data!$YL$1:$YM$1)</f>
        <v>#N/A</v>
      </c>
      <c r="BL52" s="33" t="e">
        <f>INDEX(Data!$YL$2:$YM$15,BJ52,BK52)</f>
        <v>#N/A</v>
      </c>
    </row>
    <row r="53" spans="1:64" ht="30" customHeight="1" thickTop="1" thickBot="1">
      <c r="A53" s="53">
        <v>46</v>
      </c>
      <c r="B53" s="13"/>
      <c r="C53" s="13"/>
      <c r="D53" s="19"/>
      <c r="E53" s="15"/>
      <c r="F53" s="10"/>
      <c r="G53" s="10"/>
      <c r="H53" s="14"/>
      <c r="I53" s="14"/>
      <c r="J53" s="484"/>
      <c r="K53" s="485"/>
      <c r="L53" s="15"/>
      <c r="M53" s="15"/>
      <c r="N53" s="15"/>
      <c r="O53" s="514"/>
      <c r="P53" s="515"/>
      <c r="Q53" s="13"/>
      <c r="R53" s="13"/>
      <c r="S53" s="13"/>
      <c r="T53" s="13"/>
      <c r="U53" s="13"/>
      <c r="V53" s="13"/>
      <c r="W53" s="13"/>
      <c r="X53" s="15"/>
      <c r="Y53" s="16"/>
      <c r="Z53" s="186"/>
      <c r="AA53" s="236"/>
      <c r="AB53" s="237"/>
      <c r="AC53" s="33" t="e">
        <f t="shared" si="0"/>
        <v>#N/A</v>
      </c>
      <c r="AD53" s="33" t="e">
        <f>VLOOKUP(S53,Data!$QH$2:$QI$4,2,FALSE)</f>
        <v>#N/A</v>
      </c>
      <c r="AF53" s="92" t="e">
        <f t="shared" si="1"/>
        <v>#N/A</v>
      </c>
      <c r="AI53" s="92" t="b">
        <f>IF(W53=Data!$KK$2,Data!$KM$1,IF(W53=Data!$KK$3,Data!$KN$1,IF(W53=Data!$KK$4,Data!$KP$1,IF(W53=Data!$KK$5,Data!$KQ$1))))</f>
        <v>0</v>
      </c>
      <c r="AJ53" s="33" t="str">
        <f>IF(D53=Data!$W$10,Data!$QJ$1,Data!$QK$1)</f>
        <v>RollerControl</v>
      </c>
      <c r="AM53" s="33" t="b">
        <f>IF(S53=Data!$PX$2,Data!$PZ$1,IF(S53=Data!$PX$3,Data!$PY$1,IF(S53=Data!$PX$4,Data!$QA$1)))</f>
        <v>0</v>
      </c>
      <c r="AO53" s="33" t="b">
        <f>IF(S53=Data!$PX$3,Data!$QB$1,IF(S53=Data!$PX$2,Data!$QC$1,IF(S53=Data!$PX$4,Data!$QD$1)))</f>
        <v>0</v>
      </c>
      <c r="AQ53" s="33" t="str">
        <f>IF(D53=Data!$W$3,Data!$QF$1,IF(D53=Data!$W$4,Data!$QF$1,IF(D53=Data!$W$5,Data!$QF$1,IF(D53=Data!$W$6,Data!$QF$1,IF(D53=Data!$W$7,Data!$QF$1,IF(D53=Data!$W$8,Data!$QF$1,IF(D53=Data!$W$9,Data!$QF$1,IF(D53=Data!$W$10,Data!$QE$1,IF(D53=Data!$W$11,Data!$QF$1,IF(D53=Data!$W$12,Data!$QF$1,IF(D53=Data!$W$13,Data!$QF$1,IF(D53=Data!$W$14,Data!$QF$1,IF(D53=Data!$W$15,Data!$QF$1,IF(D53=Data!$W$16,Data!$QF$1))))))))))))))</f>
        <v>RollerBracketType2</v>
      </c>
      <c r="BA53" s="40" t="str">
        <f>IF(AND(F53&lt;2130, OR(G53&lt;2100)),Data!$KS$1,Data!$KT$1)</f>
        <v>Small_Tube</v>
      </c>
      <c r="BB53" s="92" t="e">
        <f>MATCH(W53,Data!$LA$1:$LD$1,0)</f>
        <v>#N/A</v>
      </c>
      <c r="BC53" s="92">
        <f>MATCH('Roller Blinds'!BA53,Data!$KZ$2:$KZ$3,0)</f>
        <v>1</v>
      </c>
      <c r="BD53" s="92" t="e">
        <f>INDEX(Data!$LA$2:$LD$3,'Roller Blinds'!BC53,'Roller Blinds'!BB53)</f>
        <v>#N/A</v>
      </c>
      <c r="BG53" s="92" t="b">
        <f>IF(O53=Data!$QK$2,Data!$QL$1,IF(O53=Data!$QK$3,Data!$QM$1,IF(O53=Data!$QK$4,Data!$QN$1,IF(O53=Data!$QK$5,Data!$QO$1,IF(O53=Data!$QK$6,Data!$QP$1,IF(O53=Data!$QK$7,Data!$QQ$1,IF(O53=Data!$QK$8,Data!$QR$1,IF(O53=Data!$QK$9,Data!$QS$1, IF(O53=Data!$QK$10,Data!$QV$1, IF(O53=Data!$QK$11,Data!$QW$1))))))))))</f>
        <v>0</v>
      </c>
      <c r="BH53" s="33" t="b">
        <f>IF(O53=Data!$QK$2,Data!$QL$17,IF(O53=Data!$QK$3,Data!$QM$17,IF(O53=Data!$QK$4,Data!$QN$17,IF(O53=Data!$QK$5,Data!$QO$17,IF(O53=Data!$QK$6,Data!$QP$17,IF(O53=Data!$QK$7,Data!$QQ$17,IF(O53=Data!$QK$8,Data!$QR$17,IF(O53=Data!$QK$9,Data!$QS$17,IF(O53=Data!$QK$10,Data!$QV$17,IF(O53=Data!$QK$11,Data!$QW$17))))))))))</f>
        <v>0</v>
      </c>
      <c r="BI53" s="33" t="e">
        <f>VLOOKUP(O53,Data!$PU$13:$PV$22,2,FALSE)</f>
        <v>#N/A</v>
      </c>
      <c r="BJ53" s="33" t="e">
        <f>MATCH('Roller Blinds'!D53,Data!$YK$2:$YK$15)</f>
        <v>#N/A</v>
      </c>
      <c r="BK53" s="33" t="e">
        <f>MATCH(L53,Data!$YL$1:$YM$1)</f>
        <v>#N/A</v>
      </c>
      <c r="BL53" s="33" t="e">
        <f>INDEX(Data!$YL$2:$YM$15,BJ53,BK53)</f>
        <v>#N/A</v>
      </c>
    </row>
    <row r="54" spans="1:64" ht="30" customHeight="1" thickTop="1" thickBot="1">
      <c r="A54" s="53">
        <v>47</v>
      </c>
      <c r="B54" s="13"/>
      <c r="C54" s="13"/>
      <c r="D54" s="19"/>
      <c r="E54" s="15"/>
      <c r="F54" s="10"/>
      <c r="G54" s="10"/>
      <c r="H54" s="14"/>
      <c r="I54" s="14"/>
      <c r="J54" s="484"/>
      <c r="K54" s="485"/>
      <c r="L54" s="15"/>
      <c r="M54" s="15"/>
      <c r="N54" s="15"/>
      <c r="O54" s="514"/>
      <c r="P54" s="515"/>
      <c r="Q54" s="13"/>
      <c r="R54" s="13"/>
      <c r="S54" s="13"/>
      <c r="T54" s="13"/>
      <c r="U54" s="13"/>
      <c r="V54" s="13"/>
      <c r="W54" s="13"/>
      <c r="X54" s="15"/>
      <c r="Y54" s="16"/>
      <c r="Z54" s="186"/>
      <c r="AA54" s="236"/>
      <c r="AB54" s="237"/>
      <c r="AC54" s="33" t="e">
        <f t="shared" si="0"/>
        <v>#N/A</v>
      </c>
      <c r="AD54" s="33" t="e">
        <f>VLOOKUP(S54,Data!$QH$2:$QI$4,2,FALSE)</f>
        <v>#N/A</v>
      </c>
      <c r="AF54" s="92" t="e">
        <f t="shared" si="1"/>
        <v>#N/A</v>
      </c>
      <c r="AI54" s="92" t="b">
        <f>IF(W54=Data!$KK$2,Data!$KM$1,IF(W54=Data!$KK$3,Data!$KN$1,IF(W54=Data!$KK$4,Data!$KP$1,IF(W54=Data!$KK$5,Data!$KQ$1))))</f>
        <v>0</v>
      </c>
      <c r="AJ54" s="33" t="str">
        <f>IF(D54=Data!$W$10,Data!$QJ$1,Data!$QK$1)</f>
        <v>RollerControl</v>
      </c>
      <c r="AM54" s="33" t="b">
        <f>IF(S54=Data!$PX$2,Data!$PZ$1,IF(S54=Data!$PX$3,Data!$PY$1,IF(S54=Data!$PX$4,Data!$QA$1)))</f>
        <v>0</v>
      </c>
      <c r="AO54" s="33" t="b">
        <f>IF(S54=Data!$PX$3,Data!$QB$1,IF(S54=Data!$PX$2,Data!$QC$1,IF(S54=Data!$PX$4,Data!$QD$1)))</f>
        <v>0</v>
      </c>
      <c r="AQ54" s="33" t="str">
        <f>IF(D54=Data!$W$3,Data!$QF$1,IF(D54=Data!$W$4,Data!$QF$1,IF(D54=Data!$W$5,Data!$QF$1,IF(D54=Data!$W$6,Data!$QF$1,IF(D54=Data!$W$7,Data!$QF$1,IF(D54=Data!$W$8,Data!$QF$1,IF(D54=Data!$W$9,Data!$QF$1,IF(D54=Data!$W$10,Data!$QE$1,IF(D54=Data!$W$11,Data!$QF$1,IF(D54=Data!$W$12,Data!$QF$1,IF(D54=Data!$W$13,Data!$QF$1,IF(D54=Data!$W$14,Data!$QF$1,IF(D54=Data!$W$15,Data!$QF$1,IF(D54=Data!$W$16,Data!$QF$1))))))))))))))</f>
        <v>RollerBracketType2</v>
      </c>
      <c r="BA54" s="40" t="str">
        <f>IF(AND(F54&lt;2130, OR(G54&lt;2100)),Data!$KS$1,Data!$KT$1)</f>
        <v>Small_Tube</v>
      </c>
      <c r="BB54" s="92" t="e">
        <f>MATCH(W54,Data!$LA$1:$LD$1,0)</f>
        <v>#N/A</v>
      </c>
      <c r="BC54" s="92">
        <f>MATCH('Roller Blinds'!BA54,Data!$KZ$2:$KZ$3,0)</f>
        <v>1</v>
      </c>
      <c r="BD54" s="92" t="e">
        <f>INDEX(Data!$LA$2:$LD$3,'Roller Blinds'!BC54,'Roller Blinds'!BB54)</f>
        <v>#N/A</v>
      </c>
      <c r="BG54" s="92" t="b">
        <f>IF(O54=Data!$QK$2,Data!$QL$1,IF(O54=Data!$QK$3,Data!$QM$1,IF(O54=Data!$QK$4,Data!$QN$1,IF(O54=Data!$QK$5,Data!$QO$1,IF(O54=Data!$QK$6,Data!$QP$1,IF(O54=Data!$QK$7,Data!$QQ$1,IF(O54=Data!$QK$8,Data!$QR$1,IF(O54=Data!$QK$9,Data!$QS$1, IF(O54=Data!$QK$10,Data!$QV$1, IF(O54=Data!$QK$11,Data!$QW$1))))))))))</f>
        <v>0</v>
      </c>
      <c r="BH54" s="33" t="b">
        <f>IF(O54=Data!$QK$2,Data!$QL$17,IF(O54=Data!$QK$3,Data!$QM$17,IF(O54=Data!$QK$4,Data!$QN$17,IF(O54=Data!$QK$5,Data!$QO$17,IF(O54=Data!$QK$6,Data!$QP$17,IF(O54=Data!$QK$7,Data!$QQ$17,IF(O54=Data!$QK$8,Data!$QR$17,IF(O54=Data!$QK$9,Data!$QS$17,IF(O54=Data!$QK$10,Data!$QV$17,IF(O54=Data!$QK$11,Data!$QW$17))))))))))</f>
        <v>0</v>
      </c>
      <c r="BI54" s="33" t="e">
        <f>VLOOKUP(O54,Data!$PU$13:$PV$22,2,FALSE)</f>
        <v>#N/A</v>
      </c>
      <c r="BJ54" s="33" t="e">
        <f>MATCH('Roller Blinds'!D54,Data!$YK$2:$YK$15)</f>
        <v>#N/A</v>
      </c>
      <c r="BK54" s="33" t="e">
        <f>MATCH(L54,Data!$YL$1:$YM$1)</f>
        <v>#N/A</v>
      </c>
      <c r="BL54" s="33" t="e">
        <f>INDEX(Data!$YL$2:$YM$15,BJ54,BK54)</f>
        <v>#N/A</v>
      </c>
    </row>
    <row r="55" spans="1:64" ht="30" customHeight="1" thickTop="1" thickBot="1">
      <c r="A55" s="53">
        <v>48</v>
      </c>
      <c r="B55" s="13"/>
      <c r="C55" s="13"/>
      <c r="D55" s="19"/>
      <c r="E55" s="15"/>
      <c r="F55" s="10"/>
      <c r="G55" s="10"/>
      <c r="H55" s="14"/>
      <c r="I55" s="14"/>
      <c r="J55" s="484"/>
      <c r="K55" s="485"/>
      <c r="L55" s="15"/>
      <c r="M55" s="15"/>
      <c r="N55" s="15"/>
      <c r="O55" s="514"/>
      <c r="P55" s="515"/>
      <c r="Q55" s="13"/>
      <c r="R55" s="13"/>
      <c r="S55" s="13"/>
      <c r="T55" s="13"/>
      <c r="U55" s="13"/>
      <c r="V55" s="13"/>
      <c r="W55" s="13"/>
      <c r="X55" s="15"/>
      <c r="Y55" s="16"/>
      <c r="Z55" s="186"/>
      <c r="AA55" s="236"/>
      <c r="AB55" s="237"/>
      <c r="AC55" s="33" t="e">
        <f t="shared" si="0"/>
        <v>#N/A</v>
      </c>
      <c r="AD55" s="33" t="e">
        <f>VLOOKUP(S55,Data!$QH$2:$QI$4,2,FALSE)</f>
        <v>#N/A</v>
      </c>
      <c r="AF55" s="92" t="e">
        <f t="shared" si="1"/>
        <v>#N/A</v>
      </c>
      <c r="AI55" s="92" t="b">
        <f>IF(W55=Data!$KK$2,Data!$KM$1,IF(W55=Data!$KK$3,Data!$KN$1,IF(W55=Data!$KK$4,Data!$KP$1,IF(W55=Data!$KK$5,Data!$KQ$1))))</f>
        <v>0</v>
      </c>
      <c r="AJ55" s="33" t="str">
        <f>IF(D55=Data!$W$10,Data!$QJ$1,Data!$QK$1)</f>
        <v>RollerControl</v>
      </c>
      <c r="AM55" s="33" t="b">
        <f>IF(S55=Data!$PX$2,Data!$PZ$1,IF(S55=Data!$PX$3,Data!$PY$1,IF(S55=Data!$PX$4,Data!$QA$1)))</f>
        <v>0</v>
      </c>
      <c r="AO55" s="33" t="b">
        <f>IF(S55=Data!$PX$3,Data!$QB$1,IF(S55=Data!$PX$2,Data!$QC$1,IF(S55=Data!$PX$4,Data!$QD$1)))</f>
        <v>0</v>
      </c>
      <c r="AQ55" s="33" t="str">
        <f>IF(D55=Data!$W$3,Data!$QF$1,IF(D55=Data!$W$4,Data!$QF$1,IF(D55=Data!$W$5,Data!$QF$1,IF(D55=Data!$W$6,Data!$QF$1,IF(D55=Data!$W$7,Data!$QF$1,IF(D55=Data!$W$8,Data!$QF$1,IF(D55=Data!$W$9,Data!$QF$1,IF(D55=Data!$W$10,Data!$QE$1,IF(D55=Data!$W$11,Data!$QF$1,IF(D55=Data!$W$12,Data!$QF$1,IF(D55=Data!$W$13,Data!$QF$1,IF(D55=Data!$W$14,Data!$QF$1,IF(D55=Data!$W$15,Data!$QF$1,IF(D55=Data!$W$16,Data!$QF$1))))))))))))))</f>
        <v>RollerBracketType2</v>
      </c>
      <c r="BA55" s="40" t="str">
        <f>IF(AND(F55&lt;2130, OR(G55&lt;2100)),Data!$KS$1,Data!$KT$1)</f>
        <v>Small_Tube</v>
      </c>
      <c r="BB55" s="92" t="e">
        <f>MATCH(W55,Data!$LA$1:$LD$1,0)</f>
        <v>#N/A</v>
      </c>
      <c r="BC55" s="92">
        <f>MATCH('Roller Blinds'!BA55,Data!$KZ$2:$KZ$3,0)</f>
        <v>1</v>
      </c>
      <c r="BD55" s="92" t="e">
        <f>INDEX(Data!$LA$2:$LD$3,'Roller Blinds'!BC55,'Roller Blinds'!BB55)</f>
        <v>#N/A</v>
      </c>
      <c r="BG55" s="92" t="b">
        <f>IF(O55=Data!$QK$2,Data!$QL$1,IF(O55=Data!$QK$3,Data!$QM$1,IF(O55=Data!$QK$4,Data!$QN$1,IF(O55=Data!$QK$5,Data!$QO$1,IF(O55=Data!$QK$6,Data!$QP$1,IF(O55=Data!$QK$7,Data!$QQ$1,IF(O55=Data!$QK$8,Data!$QR$1,IF(O55=Data!$QK$9,Data!$QS$1, IF(O55=Data!$QK$10,Data!$QV$1, IF(O55=Data!$QK$11,Data!$QW$1))))))))))</f>
        <v>0</v>
      </c>
      <c r="BH55" s="33" t="b">
        <f>IF(O55=Data!$QK$2,Data!$QL$17,IF(O55=Data!$QK$3,Data!$QM$17,IF(O55=Data!$QK$4,Data!$QN$17,IF(O55=Data!$QK$5,Data!$QO$17,IF(O55=Data!$QK$6,Data!$QP$17,IF(O55=Data!$QK$7,Data!$QQ$17,IF(O55=Data!$QK$8,Data!$QR$17,IF(O55=Data!$QK$9,Data!$QS$17,IF(O55=Data!$QK$10,Data!$QV$17,IF(O55=Data!$QK$11,Data!$QW$17))))))))))</f>
        <v>0</v>
      </c>
      <c r="BI55" s="33" t="e">
        <f>VLOOKUP(O55,Data!$PU$13:$PV$22,2,FALSE)</f>
        <v>#N/A</v>
      </c>
      <c r="BJ55" s="33" t="e">
        <f>MATCH('Roller Blinds'!D55,Data!$YK$2:$YK$15)</f>
        <v>#N/A</v>
      </c>
      <c r="BK55" s="33" t="e">
        <f>MATCH(L55,Data!$YL$1:$YM$1)</f>
        <v>#N/A</v>
      </c>
      <c r="BL55" s="33" t="e">
        <f>INDEX(Data!$YL$2:$YM$15,BJ55,BK55)</f>
        <v>#N/A</v>
      </c>
    </row>
    <row r="56" spans="1:64" ht="30" customHeight="1" thickTop="1" thickBot="1">
      <c r="A56" s="53">
        <v>49</v>
      </c>
      <c r="B56" s="13"/>
      <c r="C56" s="13"/>
      <c r="D56" s="19"/>
      <c r="E56" s="15"/>
      <c r="F56" s="10"/>
      <c r="G56" s="10"/>
      <c r="H56" s="14"/>
      <c r="I56" s="14"/>
      <c r="J56" s="484"/>
      <c r="K56" s="485"/>
      <c r="L56" s="15"/>
      <c r="M56" s="15"/>
      <c r="N56" s="15"/>
      <c r="O56" s="514"/>
      <c r="P56" s="515"/>
      <c r="Q56" s="13"/>
      <c r="R56" s="13"/>
      <c r="S56" s="13"/>
      <c r="T56" s="13"/>
      <c r="U56" s="13"/>
      <c r="V56" s="13"/>
      <c r="W56" s="13"/>
      <c r="X56" s="15"/>
      <c r="Y56" s="16"/>
      <c r="Z56" s="186"/>
      <c r="AA56" s="236"/>
      <c r="AB56" s="237"/>
      <c r="AC56" s="33" t="e">
        <f t="shared" si="0"/>
        <v>#N/A</v>
      </c>
      <c r="AD56" s="33" t="e">
        <f>VLOOKUP(S56,Data!$QH$2:$QI$4,2,FALSE)</f>
        <v>#N/A</v>
      </c>
      <c r="AF56" s="92" t="e">
        <f t="shared" si="1"/>
        <v>#N/A</v>
      </c>
      <c r="AI56" s="92" t="b">
        <f>IF(W56=Data!$KK$2,Data!$KM$1,IF(W56=Data!$KK$3,Data!$KN$1,IF(W56=Data!$KK$4,Data!$KP$1,IF(W56=Data!$KK$5,Data!$KQ$1))))</f>
        <v>0</v>
      </c>
      <c r="AJ56" s="33" t="str">
        <f>IF(D56=Data!$W$10,Data!$QJ$1,Data!$QK$1)</f>
        <v>RollerControl</v>
      </c>
      <c r="AM56" s="33" t="b">
        <f>IF(S56=Data!$PX$2,Data!$PZ$1,IF(S56=Data!$PX$3,Data!$PY$1,IF(S56=Data!$PX$4,Data!$QA$1)))</f>
        <v>0</v>
      </c>
      <c r="AO56" s="33" t="b">
        <f>IF(S56=Data!$PX$3,Data!$QB$1,IF(S56=Data!$PX$2,Data!$QC$1,IF(S56=Data!$PX$4,Data!$QD$1)))</f>
        <v>0</v>
      </c>
      <c r="AQ56" s="33" t="str">
        <f>IF(D56=Data!$W$3,Data!$QF$1,IF(D56=Data!$W$4,Data!$QF$1,IF(D56=Data!$W$5,Data!$QF$1,IF(D56=Data!$W$6,Data!$QF$1,IF(D56=Data!$W$7,Data!$QF$1,IF(D56=Data!$W$8,Data!$QF$1,IF(D56=Data!$W$9,Data!$QF$1,IF(D56=Data!$W$10,Data!$QE$1,IF(D56=Data!$W$11,Data!$QF$1,IF(D56=Data!$W$12,Data!$QF$1,IF(D56=Data!$W$13,Data!$QF$1,IF(D56=Data!$W$14,Data!$QF$1,IF(D56=Data!$W$15,Data!$QF$1,IF(D56=Data!$W$16,Data!$QF$1))))))))))))))</f>
        <v>RollerBracketType2</v>
      </c>
      <c r="BA56" s="40" t="str">
        <f>IF(AND(F56&lt;2130, OR(G56&lt;2100)),Data!$KS$1,Data!$KT$1)</f>
        <v>Small_Tube</v>
      </c>
      <c r="BB56" s="92" t="e">
        <f>MATCH(W56,Data!$LA$1:$LD$1,0)</f>
        <v>#N/A</v>
      </c>
      <c r="BC56" s="92">
        <f>MATCH('Roller Blinds'!BA56,Data!$KZ$2:$KZ$3,0)</f>
        <v>1</v>
      </c>
      <c r="BD56" s="92" t="e">
        <f>INDEX(Data!$LA$2:$LD$3,'Roller Blinds'!BC56,'Roller Blinds'!BB56)</f>
        <v>#N/A</v>
      </c>
      <c r="BG56" s="92" t="b">
        <f>IF(O56=Data!$QK$2,Data!$QL$1,IF(O56=Data!$QK$3,Data!$QM$1,IF(O56=Data!$QK$4,Data!$QN$1,IF(O56=Data!$QK$5,Data!$QO$1,IF(O56=Data!$QK$6,Data!$QP$1,IF(O56=Data!$QK$7,Data!$QQ$1,IF(O56=Data!$QK$8,Data!$QR$1,IF(O56=Data!$QK$9,Data!$QS$1, IF(O56=Data!$QK$10,Data!$QV$1, IF(O56=Data!$QK$11,Data!$QW$1))))))))))</f>
        <v>0</v>
      </c>
      <c r="BH56" s="33" t="b">
        <f>IF(O56=Data!$QK$2,Data!$QL$17,IF(O56=Data!$QK$3,Data!$QM$17,IF(O56=Data!$QK$4,Data!$QN$17,IF(O56=Data!$QK$5,Data!$QO$17,IF(O56=Data!$QK$6,Data!$QP$17,IF(O56=Data!$QK$7,Data!$QQ$17,IF(O56=Data!$QK$8,Data!$QR$17,IF(O56=Data!$QK$9,Data!$QS$17,IF(O56=Data!$QK$10,Data!$QV$17,IF(O56=Data!$QK$11,Data!$QW$17))))))))))</f>
        <v>0</v>
      </c>
      <c r="BI56" s="33" t="e">
        <f>VLOOKUP(O56,Data!$PU$13:$PV$22,2,FALSE)</f>
        <v>#N/A</v>
      </c>
      <c r="BJ56" s="33" t="e">
        <f>MATCH('Roller Blinds'!D56,Data!$YK$2:$YK$15)</f>
        <v>#N/A</v>
      </c>
      <c r="BK56" s="33" t="e">
        <f>MATCH(L56,Data!$YL$1:$YM$1)</f>
        <v>#N/A</v>
      </c>
      <c r="BL56" s="33" t="e">
        <f>INDEX(Data!$YL$2:$YM$15,BJ56,BK56)</f>
        <v>#N/A</v>
      </c>
    </row>
    <row r="57" spans="1:64" ht="30" customHeight="1" thickTop="1" thickBot="1">
      <c r="A57" s="54">
        <v>50</v>
      </c>
      <c r="B57" s="21"/>
      <c r="C57" s="21"/>
      <c r="D57" s="45"/>
      <c r="E57" s="44"/>
      <c r="F57" s="46"/>
      <c r="G57" s="46"/>
      <c r="H57" s="22"/>
      <c r="I57" s="46"/>
      <c r="J57" s="518"/>
      <c r="K57" s="519"/>
      <c r="L57" s="47"/>
      <c r="M57" s="44"/>
      <c r="N57" s="47"/>
      <c r="O57" s="516"/>
      <c r="P57" s="517"/>
      <c r="Q57" s="21"/>
      <c r="R57" s="21"/>
      <c r="S57" s="45"/>
      <c r="T57" s="21"/>
      <c r="U57" s="21"/>
      <c r="V57" s="21"/>
      <c r="W57" s="21"/>
      <c r="X57" s="44"/>
      <c r="Y57" s="30"/>
      <c r="Z57" s="187"/>
      <c r="AA57" s="236"/>
      <c r="AB57" s="237"/>
      <c r="AC57" s="33" t="e">
        <f t="shared" si="0"/>
        <v>#N/A</v>
      </c>
      <c r="AD57" s="33" t="e">
        <f>VLOOKUP(S57,Data!$QH$2:$QI$4,2,FALSE)</f>
        <v>#N/A</v>
      </c>
      <c r="AF57" s="92" t="e">
        <f t="shared" si="1"/>
        <v>#N/A</v>
      </c>
      <c r="AI57" s="92" t="b">
        <f>IF(W57=Data!$KK$2,Data!$KM$1,IF(W57=Data!$KK$3,Data!$KN$1,IF(W57=Data!$KK$4,Data!$KP$1,IF(W57=Data!$KK$5,Data!$KQ$1))))</f>
        <v>0</v>
      </c>
      <c r="AJ57" s="33" t="str">
        <f>IF(D57=Data!$W$10,Data!$QJ$1,Data!$QK$1)</f>
        <v>RollerControl</v>
      </c>
      <c r="AM57" s="33" t="b">
        <f>IF(S57=Data!$PX$2,Data!$PZ$1,IF(S57=Data!$PX$3,Data!$PY$1,IF(S57=Data!$PX$4,Data!$QA$1)))</f>
        <v>0</v>
      </c>
      <c r="AO57" s="33" t="b">
        <f>IF(S57=Data!$PX$3,Data!$QB$1,IF(S57=Data!$PX$2,Data!$QC$1,IF(S57=Data!$PX$4,Data!$QD$1)))</f>
        <v>0</v>
      </c>
      <c r="AQ57" s="33" t="str">
        <f>IF(D57=Data!$W$3,Data!$QF$1,IF(D57=Data!$W$4,Data!$QF$1,IF(D57=Data!$W$5,Data!$QF$1,IF(D57=Data!$W$6,Data!$QF$1,IF(D57=Data!$W$7,Data!$QF$1,IF(D57=Data!$W$8,Data!$QF$1,IF(D57=Data!$W$9,Data!$QF$1,IF(D57=Data!$W$10,Data!$QE$1,IF(D57=Data!$W$11,Data!$QF$1,IF(D57=Data!$W$12,Data!$QF$1,IF(D57=Data!$W$13,Data!$QF$1,IF(D57=Data!$W$14,Data!$QF$1,IF(D57=Data!$W$15,Data!$QF$1,IF(D57=Data!$W$16,Data!$QF$1))))))))))))))</f>
        <v>RollerBracketType2</v>
      </c>
      <c r="BA57" s="40" t="str">
        <f>IF(AND(F57&lt;2130, OR(G57&lt;2100)),Data!$KS$1,Data!$KT$1)</f>
        <v>Small_Tube</v>
      </c>
      <c r="BB57" s="92" t="e">
        <f>MATCH(W57,Data!$LA$1:$LD$1,0)</f>
        <v>#N/A</v>
      </c>
      <c r="BC57" s="92">
        <f>MATCH('Roller Blinds'!BA57,Data!$KZ$2:$KZ$3,0)</f>
        <v>1</v>
      </c>
      <c r="BD57" s="92" t="e">
        <f>INDEX(Data!$LA$2:$LD$3,'Roller Blinds'!BC57,'Roller Blinds'!BB57)</f>
        <v>#N/A</v>
      </c>
      <c r="BG57" s="92" t="b">
        <f>IF(O57=Data!$QK$2,Data!$QL$1,IF(O57=Data!$QK$3,Data!$QM$1,IF(O57=Data!$QK$4,Data!$QN$1,IF(O57=Data!$QK$5,Data!$QO$1,IF(O57=Data!$QK$6,Data!$QP$1,IF(O57=Data!$QK$7,Data!$QQ$1,IF(O57=Data!$QK$8,Data!$QR$1,IF(O57=Data!$QK$9,Data!$QS$1, IF(O57=Data!$QK$10,Data!$QV$1, IF(O57=Data!$QK$11,Data!$QW$1))))))))))</f>
        <v>0</v>
      </c>
      <c r="BH57" s="33" t="b">
        <f>IF(O57=Data!$QK$2,Data!$QL$17,IF(O57=Data!$QK$3,Data!$QM$17,IF(O57=Data!$QK$4,Data!$QN$17,IF(O57=Data!$QK$5,Data!$QO$17,IF(O57=Data!$QK$6,Data!$QP$17,IF(O57=Data!$QK$7,Data!$QQ$17,IF(O57=Data!$QK$8,Data!$QR$17,IF(O57=Data!$QK$9,Data!$QS$17,IF(O57=Data!$QK$10,Data!$QV$17,IF(O57=Data!$QK$11,Data!$QW$17))))))))))</f>
        <v>0</v>
      </c>
      <c r="BI57" s="33" t="e">
        <f>VLOOKUP(O57,Data!$PU$13:$PV$22,2,FALSE)</f>
        <v>#N/A</v>
      </c>
      <c r="BJ57" s="33" t="e">
        <f>MATCH('Roller Blinds'!D57,Data!$YK$2:$YK$15)</f>
        <v>#N/A</v>
      </c>
      <c r="BK57" s="33" t="e">
        <f>MATCH(L57,Data!$YL$1:$YM$1)</f>
        <v>#N/A</v>
      </c>
      <c r="BL57" s="33" t="e">
        <f>INDEX(Data!$YL$2:$YM$15,BJ57,BK57)</f>
        <v>#N/A</v>
      </c>
    </row>
    <row r="58" spans="1:64" ht="15.75" thickTop="1">
      <c r="A58" s="79"/>
    </row>
  </sheetData>
  <sheetProtection password="A0FF" sheet="1" objects="1" scenarios="1"/>
  <mergeCells count="120">
    <mergeCell ref="A4:C4"/>
    <mergeCell ref="F4:G4"/>
    <mergeCell ref="N4:Y4"/>
    <mergeCell ref="N1:Y1"/>
    <mergeCell ref="N2:Y2"/>
    <mergeCell ref="N3:Y3"/>
    <mergeCell ref="L1:M1"/>
    <mergeCell ref="L2:M2"/>
    <mergeCell ref="L3:M3"/>
    <mergeCell ref="L4:M4"/>
    <mergeCell ref="F2:J2"/>
    <mergeCell ref="D4:E4"/>
    <mergeCell ref="H4:J4"/>
    <mergeCell ref="J8:K8"/>
    <mergeCell ref="O8:P8"/>
    <mergeCell ref="J9:K9"/>
    <mergeCell ref="O9:P9"/>
    <mergeCell ref="J10:K10"/>
    <mergeCell ref="O10:P10"/>
    <mergeCell ref="J11:K11"/>
    <mergeCell ref="O11:P11"/>
    <mergeCell ref="N5:Y5"/>
    <mergeCell ref="J7:K7"/>
    <mergeCell ref="O7:P7"/>
    <mergeCell ref="L5:M5"/>
    <mergeCell ref="L6:M6"/>
    <mergeCell ref="N6:Y6"/>
    <mergeCell ref="A6:J6"/>
    <mergeCell ref="J12:K12"/>
    <mergeCell ref="O12:P12"/>
    <mergeCell ref="J13:K13"/>
    <mergeCell ref="O13:P13"/>
    <mergeCell ref="J14:K14"/>
    <mergeCell ref="O14:P14"/>
    <mergeCell ref="J15:K15"/>
    <mergeCell ref="O15:P15"/>
    <mergeCell ref="J16:K16"/>
    <mergeCell ref="O16:P16"/>
    <mergeCell ref="J17:K17"/>
    <mergeCell ref="O17:P17"/>
    <mergeCell ref="J18:K18"/>
    <mergeCell ref="O18:P18"/>
    <mergeCell ref="J19:K19"/>
    <mergeCell ref="O19:P19"/>
    <mergeCell ref="J20:K20"/>
    <mergeCell ref="O20:P20"/>
    <mergeCell ref="J21:K21"/>
    <mergeCell ref="O21:P21"/>
    <mergeCell ref="J22:K22"/>
    <mergeCell ref="O22:P22"/>
    <mergeCell ref="J23:K23"/>
    <mergeCell ref="O23:P23"/>
    <mergeCell ref="J24:K24"/>
    <mergeCell ref="O24:P24"/>
    <mergeCell ref="J25:K25"/>
    <mergeCell ref="O25:P25"/>
    <mergeCell ref="J26:K26"/>
    <mergeCell ref="O26:P26"/>
    <mergeCell ref="J27:K27"/>
    <mergeCell ref="O27:P27"/>
    <mergeCell ref="J28:K28"/>
    <mergeCell ref="O28:P28"/>
    <mergeCell ref="J29:K29"/>
    <mergeCell ref="O29:P29"/>
    <mergeCell ref="J30:K30"/>
    <mergeCell ref="O30:P30"/>
    <mergeCell ref="J31:K31"/>
    <mergeCell ref="O31:P31"/>
    <mergeCell ref="J32:K32"/>
    <mergeCell ref="O32:P32"/>
    <mergeCell ref="J33:K33"/>
    <mergeCell ref="O33:P33"/>
    <mergeCell ref="J34:K34"/>
    <mergeCell ref="O34:P34"/>
    <mergeCell ref="J35:K35"/>
    <mergeCell ref="O35:P35"/>
    <mergeCell ref="J36:K36"/>
    <mergeCell ref="O36:P36"/>
    <mergeCell ref="J37:K37"/>
    <mergeCell ref="O37:P37"/>
    <mergeCell ref="J38:K38"/>
    <mergeCell ref="O38:P38"/>
    <mergeCell ref="J39:K39"/>
    <mergeCell ref="O39:P39"/>
    <mergeCell ref="J40:K40"/>
    <mergeCell ref="O40:P40"/>
    <mergeCell ref="J41:K41"/>
    <mergeCell ref="O41:P41"/>
    <mergeCell ref="J42:K42"/>
    <mergeCell ref="O42:P42"/>
    <mergeCell ref="J43:K43"/>
    <mergeCell ref="O43:P43"/>
    <mergeCell ref="J44:K44"/>
    <mergeCell ref="O44:P44"/>
    <mergeCell ref="J45:K45"/>
    <mergeCell ref="O45:P45"/>
    <mergeCell ref="J46:K46"/>
    <mergeCell ref="O46:P46"/>
    <mergeCell ref="J56:K56"/>
    <mergeCell ref="O56:P56"/>
    <mergeCell ref="J57:K57"/>
    <mergeCell ref="O57:P57"/>
    <mergeCell ref="J53:K53"/>
    <mergeCell ref="O53:P53"/>
    <mergeCell ref="J54:K54"/>
    <mergeCell ref="J47:K47"/>
    <mergeCell ref="O47:P47"/>
    <mergeCell ref="J48:K48"/>
    <mergeCell ref="O48:P48"/>
    <mergeCell ref="J49:K49"/>
    <mergeCell ref="O49:P49"/>
    <mergeCell ref="O54:P54"/>
    <mergeCell ref="J55:K55"/>
    <mergeCell ref="O55:P55"/>
    <mergeCell ref="J50:K50"/>
    <mergeCell ref="O50:P50"/>
    <mergeCell ref="J51:K51"/>
    <mergeCell ref="O51:P51"/>
    <mergeCell ref="J52:K52"/>
    <mergeCell ref="O52:P52"/>
  </mergeCells>
  <conditionalFormatting sqref="Y8:Y57">
    <cfRule type="containsText" dxfId="128" priority="11" stopIfTrue="1" operator="containsText" text="Yes">
      <formula>NOT(ISERROR(SEARCH("Yes",Y8)))</formula>
    </cfRule>
  </conditionalFormatting>
  <conditionalFormatting sqref="R8:R57">
    <cfRule type="containsText" dxfId="127" priority="1" operator="containsText" text="Nickel">
      <formula>NOT(ISERROR(SEARCH("Nickel",R8)))</formula>
    </cfRule>
    <cfRule type="containsText" dxfId="126" priority="9" stopIfTrue="1" operator="containsText" text="Stainless Steel">
      <formula>NOT(ISERROR(SEARCH("Stainless Steel",R8)))</formula>
    </cfRule>
  </conditionalFormatting>
  <conditionalFormatting sqref="C8:C57">
    <cfRule type="cellIs" dxfId="125" priority="7" stopIfTrue="1" operator="greaterThan">
      <formula>1</formula>
    </cfRule>
  </conditionalFormatting>
  <conditionalFormatting sqref="T8:T57">
    <cfRule type="expression" dxfId="124" priority="6">
      <formula>AF8="Enter"</formula>
    </cfRule>
  </conditionalFormatting>
  <conditionalFormatting sqref="N6">
    <cfRule type="notContainsBlanks" dxfId="123" priority="5">
      <formula>LEN(TRIM(N6))&gt;0</formula>
    </cfRule>
  </conditionalFormatting>
  <conditionalFormatting sqref="U8:U57">
    <cfRule type="expression" dxfId="122" priority="4">
      <formula>AC8="Enter"</formula>
    </cfRule>
  </conditionalFormatting>
  <conditionalFormatting sqref="W8:W57">
    <cfRule type="containsText" dxfId="121" priority="2" operator="containsText" text="Link">
      <formula>NOT(ISERROR(SEARCH("Link",W8)))</formula>
    </cfRule>
    <cfRule type="containsText" dxfId="120" priority="3" operator="containsText" text="Double">
      <formula>NOT(ISERROR(SEARCH("Double",W8)))</formula>
    </cfRule>
  </conditionalFormatting>
  <dataValidations count="22">
    <dataValidation operator="equal" allowBlank="1" showDropDown="1" showInputMessage="1" showErrorMessage="1" errorTitle="Invalid Entry" error="Invalid Entry" sqref="BA8:BA57" xr:uid="{00000000-0002-0000-0400-000000000000}"/>
    <dataValidation allowBlank="1" showInputMessage="1" errorTitle="Invalid Enrty" error="Please select from List!" sqref="Z8:Z57" xr:uid="{00000000-0002-0000-0400-000001000000}"/>
    <dataValidation type="list" allowBlank="1" showInputMessage="1" showErrorMessage="1" errorTitle="Invalid Entry" error="Invalid Entry" sqref="X8:X57" xr:uid="{00000000-0002-0000-0400-000002000000}">
      <formula1>INDIRECT(SUBSTITUTE(BD8," ","_"))</formula1>
    </dataValidation>
    <dataValidation type="list" allowBlank="1" showInputMessage="1" showErrorMessage="1" errorTitle="Invalid Entry" error="Invalid Entry" sqref="V8:V57" xr:uid="{00000000-0002-0000-0400-000003000000}">
      <formula1>"Standard, Over Roll"</formula1>
    </dataValidation>
    <dataValidation type="list" allowBlank="1" showInputMessage="1" showErrorMessage="1" errorTitle="Invalid Entry" error="Invalid Entry" sqref="L8:L57" xr:uid="{00000000-0002-0000-0400-000004000000}">
      <formula1>"Oval Bottom Rail, Sewn In Pocket"</formula1>
    </dataValidation>
    <dataValidation type="list" allowBlank="1" showInputMessage="1" showErrorMessage="1" errorTitle="Invalid Entry" error="Invalid Entry" sqref="N8:N57" xr:uid="{00000000-0002-0000-0400-000005000000}">
      <formula1>"White, White Birch, Black"</formula1>
    </dataValidation>
    <dataValidation type="list" allowBlank="1" showInputMessage="1" showErrorMessage="1" errorTitle="Invalid Entry" error="Invalid Entry" sqref="I8:I57" xr:uid="{00000000-0002-0000-0400-000006000000}">
      <formula1>"Face Fit, Recess Fit"</formula1>
    </dataValidation>
    <dataValidation type="list" allowBlank="1" showInputMessage="1" showErrorMessage="1" errorTitle="Invalid Entry" error="Invalid Entry" sqref="J8:K57" xr:uid="{00000000-0002-0000-0400-000007000000}">
      <formula1>"NAM, ACT"</formula1>
    </dataValidation>
    <dataValidation type="list" allowBlank="1" showInputMessage="1" showErrorMessage="1" errorTitle="Invalid Entry" error="Invalid Entry" sqref="H8:H57" xr:uid="{00000000-0002-0000-0400-000008000000}">
      <formula1>WindowType</formula1>
    </dataValidation>
    <dataValidation type="list" allowBlank="1" showInputMessage="1" showErrorMessage="1" errorTitle="Invalid Entry" error="Invalid Entry" sqref="D8:D57" xr:uid="{00000000-0002-0000-0400-000009000000}">
      <formula1>Roller_Blind_Product</formula1>
    </dataValidation>
    <dataValidation type="whole" errorStyle="warning" allowBlank="1" showInputMessage="1" showErrorMessage="1" errorTitle="Be Aware" error="Minimum Width is 300mm._x000a__x000a_Maximum Width is 3030mm. _x000a__x000a_All openings over the Maximum Widths will require Multiple Blinds._x000a__x000a_Additional sizes outside these Maximum's may be able to be manufactured." sqref="F8:F57" xr:uid="{00000000-0002-0000-0400-00000A000000}">
      <formula1>300</formula1>
      <formula2>3030</formula2>
    </dataValidation>
    <dataValidation type="whole" errorStyle="warning" allowBlank="1" showInputMessage="1" showErrorMessage="1" errorTitle="Be Aware" error="Minimum Height/Drop is 300mm._x000a__x000a_Maximum Height/Drop is 3000mm. _x000a_" sqref="G8:G57" xr:uid="{00000000-0002-0000-0400-00000B000000}">
      <formula1>300</formula1>
      <formula2>3000</formula2>
    </dataValidation>
    <dataValidation allowBlank="1" sqref="AA1:AB57" xr:uid="{00000000-0002-0000-0400-00000C000000}"/>
    <dataValidation type="list" allowBlank="1" showInputMessage="1" showErrorMessage="1" errorTitle="Invalid Entry" error="Invalid Entry" sqref="E8:E57" xr:uid="{00000000-0002-0000-0400-00000D000000}">
      <formula1>INDIRECT(SUBSTITUTE(SUBSTITUTE(SUBSTITUTE(D8," ","_"),"(",""),")",""))</formula1>
    </dataValidation>
    <dataValidation type="list" allowBlank="1" showInputMessage="1" showErrorMessage="1" errorTitle="Invalid Entry" error="Invalid Entry" sqref="S8:S57" xr:uid="{00000000-0002-0000-0400-00000E000000}">
      <formula1>RollerUniversalPelmet</formula1>
    </dataValidation>
    <dataValidation type="list" allowBlank="1" showInputMessage="1" showErrorMessage="1" errorTitle="Invalid Entry" error="Invalid Entry" sqref="T8:T57" xr:uid="{00000000-0002-0000-0400-00000F000000}">
      <formula1>INDIRECT(SUBSTITUTE(AM8," ","_"))</formula1>
    </dataValidation>
    <dataValidation type="list" allowBlank="1" showInputMessage="1" showErrorMessage="1" errorTitle="Invalid Entry" error="Invalid Entry" sqref="U8:U57" xr:uid="{00000000-0002-0000-0400-000010000000}">
      <formula1>INDIRECT(SUBSTITUTE(AO8," ","_"))</formula1>
    </dataValidation>
    <dataValidation type="list" allowBlank="1" showInputMessage="1" showErrorMessage="1" errorTitle="Invalid Entry" error="Invalid Entry" sqref="O8:P57" xr:uid="{00000000-0002-0000-0400-000011000000}">
      <formula1>RollerControl</formula1>
    </dataValidation>
    <dataValidation type="list" allowBlank="1" showInputMessage="1" showErrorMessage="1" errorTitle="Invalid Entry" error="Invalid Entry" sqref="Q8:R57" xr:uid="{00000000-0002-0000-0400-000012000000}">
      <formula1>INDIRECT(SUBSTITUTE(SUBSTITUTE(SUBSTITUTE(BG8," ","_"),"(",""),")",""))</formula1>
    </dataValidation>
    <dataValidation type="list" allowBlank="1" showInputMessage="1" showErrorMessage="1" errorTitle="Invalid Entry" error="Invalid Entry" sqref="Y8:Y57" xr:uid="{00000000-0002-0000-0400-000013000000}">
      <formula1>INDIRECT(SUBSTITUTE(SUBSTITUTE(SUBSTITUTE(BI8," ","_"),"(",""),")",""))</formula1>
    </dataValidation>
    <dataValidation type="list" allowBlank="1" showInputMessage="1" showErrorMessage="1" errorTitle="Invalid Entry" error="Invalid Entry" sqref="M8:M57" xr:uid="{00000000-0002-0000-0400-000014000000}">
      <formula1>INDIRECT(SUBSTITUTE(BL8," ","_"))</formula1>
    </dataValidation>
    <dataValidation type="list" allowBlank="1" showInputMessage="1" showErrorMessage="1" errorTitle="Invalid Entry" error="Invalid Entry" sqref="W8:W57" xr:uid="{00000000-0002-0000-0400-000015000000}">
      <formula1>RollerBracketType2</formula1>
    </dataValidation>
  </dataValidations>
  <printOptions horizontalCentered="1"/>
  <pageMargins left="0.23622047244094491" right="0.23622047244094491" top="0.23622047244094491" bottom="0.23622047244094491" header="0.19685039370078741" footer="0.19685039370078741"/>
  <pageSetup paperSize="9" scale="39"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BZ28"/>
  <sheetViews>
    <sheetView zoomScale="85" zoomScaleNormal="85" zoomScalePageLayoutView="98" workbookViewId="0">
      <selection activeCell="B8" sqref="B8"/>
    </sheetView>
  </sheetViews>
  <sheetFormatPr defaultRowHeight="15"/>
  <cols>
    <col min="1" max="1" width="6" style="55" customWidth="1"/>
    <col min="2" max="2" width="12" style="55" customWidth="1"/>
    <col min="3" max="3" width="7.5703125" style="55" customWidth="1"/>
    <col min="4" max="4" width="14.5703125" style="55" customWidth="1"/>
    <col min="5" max="5" width="23.85546875" style="55" customWidth="1"/>
    <col min="6" max="6" width="13" style="55" customWidth="1"/>
    <col min="7" max="7" width="12.42578125" style="55" customWidth="1"/>
    <col min="8" max="8" width="15.42578125" style="55" customWidth="1"/>
    <col min="9" max="9" width="14.7109375" style="55" customWidth="1"/>
    <col min="10" max="10" width="10.42578125" style="55" customWidth="1"/>
    <col min="11" max="11" width="4.28515625" style="55" customWidth="1"/>
    <col min="12" max="13" width="14.28515625" style="55" customWidth="1"/>
    <col min="14" max="14" width="6.140625" style="55" customWidth="1"/>
    <col min="15" max="16" width="11.7109375" style="55" customWidth="1"/>
    <col min="17" max="17" width="10.7109375" style="55" customWidth="1"/>
    <col min="18" max="20" width="14.7109375" style="55" customWidth="1"/>
    <col min="21" max="22" width="21.85546875" style="55" customWidth="1"/>
    <col min="23" max="23" width="14.5703125" style="55" customWidth="1"/>
    <col min="24" max="24" width="41.140625" style="55" customWidth="1"/>
    <col min="25" max="25" width="7.7109375" style="82" customWidth="1"/>
    <col min="26" max="26" width="9.140625" style="55" customWidth="1"/>
    <col min="27" max="29" width="9.140625" style="55" hidden="1" customWidth="1"/>
    <col min="30" max="30" width="21.7109375" style="55" hidden="1" customWidth="1"/>
    <col min="31" max="31" width="37.7109375" style="55" hidden="1" customWidth="1"/>
    <col min="32" max="32" width="33.85546875" style="55" hidden="1" customWidth="1"/>
    <col min="33" max="51" width="9.140625" style="55" hidden="1" customWidth="1"/>
    <col min="52" max="52" width="21.28515625" style="55" hidden="1" customWidth="1"/>
    <col min="53" max="54" width="20" style="55" hidden="1" customWidth="1"/>
    <col min="55" max="78" width="9.140625" style="55" hidden="1" customWidth="1"/>
    <col min="79" max="16384" width="9.140625" style="55"/>
  </cols>
  <sheetData>
    <row r="1" spans="1:53" ht="27" customHeight="1">
      <c r="A1" s="120"/>
      <c r="B1" s="121"/>
      <c r="C1" s="121"/>
      <c r="D1" s="121"/>
      <c r="E1" s="177"/>
      <c r="F1" s="121"/>
      <c r="G1" s="121"/>
      <c r="H1" s="121"/>
      <c r="I1" s="121"/>
      <c r="J1" s="127"/>
      <c r="K1" s="59"/>
      <c r="L1" s="457" t="s">
        <v>0</v>
      </c>
      <c r="M1" s="457"/>
      <c r="N1" s="466">
        <f>Summary!D3</f>
        <v>0</v>
      </c>
      <c r="O1" s="466"/>
      <c r="P1" s="466"/>
      <c r="Q1" s="466"/>
      <c r="R1" s="466"/>
      <c r="S1" s="466"/>
      <c r="T1" s="466"/>
      <c r="U1" s="466"/>
      <c r="V1" s="80"/>
      <c r="Y1" s="55"/>
    </row>
    <row r="2" spans="1:53" ht="21" customHeight="1">
      <c r="A2" s="28"/>
      <c r="B2" s="29"/>
      <c r="C2" s="29"/>
      <c r="D2" s="29"/>
      <c r="F2" s="538" t="s">
        <v>186</v>
      </c>
      <c r="G2" s="538"/>
      <c r="H2" s="538"/>
      <c r="I2" s="538"/>
      <c r="J2" s="539"/>
      <c r="K2" s="61"/>
      <c r="L2" s="457" t="s">
        <v>141</v>
      </c>
      <c r="M2" s="457"/>
      <c r="N2" s="470">
        <f>Summary!D6</f>
        <v>0</v>
      </c>
      <c r="O2" s="470"/>
      <c r="P2" s="470"/>
      <c r="Q2" s="470"/>
      <c r="R2" s="470"/>
      <c r="S2" s="470"/>
      <c r="T2" s="470"/>
      <c r="U2" s="470"/>
      <c r="V2" s="81"/>
    </row>
    <row r="3" spans="1:53" ht="21" customHeight="1">
      <c r="A3" s="7"/>
      <c r="B3" s="8"/>
      <c r="C3" s="8"/>
      <c r="D3" s="8"/>
      <c r="F3" s="176"/>
      <c r="G3" s="176"/>
      <c r="H3" s="176"/>
      <c r="I3" s="176"/>
      <c r="J3" s="83"/>
      <c r="K3" s="59"/>
      <c r="L3" s="457" t="s">
        <v>142</v>
      </c>
      <c r="M3" s="457"/>
      <c r="N3" s="509">
        <f>Summary!D4</f>
        <v>0</v>
      </c>
      <c r="O3" s="509"/>
      <c r="P3" s="509"/>
      <c r="Q3" s="509"/>
      <c r="R3" s="509"/>
      <c r="S3" s="509"/>
      <c r="T3" s="509"/>
      <c r="U3" s="509"/>
      <c r="V3" s="81"/>
    </row>
    <row r="4" spans="1:53" ht="21" customHeight="1">
      <c r="A4" s="472" t="s">
        <v>458</v>
      </c>
      <c r="B4" s="472"/>
      <c r="C4" s="472"/>
      <c r="D4" s="473"/>
      <c r="E4" s="474"/>
      <c r="F4" s="472" t="s">
        <v>457</v>
      </c>
      <c r="G4" s="472"/>
      <c r="H4" s="475"/>
      <c r="I4" s="530"/>
      <c r="J4" s="476"/>
      <c r="K4" s="61"/>
      <c r="L4" s="457" t="s">
        <v>973</v>
      </c>
      <c r="M4" s="457"/>
      <c r="N4" s="477">
        <f>Summary!D7</f>
        <v>0</v>
      </c>
      <c r="O4" s="478"/>
      <c r="P4" s="478"/>
      <c r="Q4" s="478"/>
      <c r="R4" s="478"/>
      <c r="S4" s="478"/>
      <c r="T4" s="478"/>
      <c r="U4" s="479"/>
      <c r="V4" s="63"/>
    </row>
    <row r="5" spans="1:53" ht="21" customHeight="1">
      <c r="A5" s="108" t="s">
        <v>421</v>
      </c>
      <c r="B5" s="109"/>
      <c r="C5" s="109"/>
      <c r="D5" s="43" t="s">
        <v>211</v>
      </c>
      <c r="E5" s="125"/>
      <c r="F5" s="76"/>
      <c r="G5" s="125"/>
      <c r="H5" s="109"/>
      <c r="I5" s="109"/>
      <c r="J5" s="110"/>
      <c r="K5" s="61"/>
      <c r="L5" s="457" t="s">
        <v>143</v>
      </c>
      <c r="M5" s="457"/>
      <c r="N5" s="490">
        <f>Summary!D8</f>
        <v>0</v>
      </c>
      <c r="O5" s="490"/>
      <c r="P5" s="490"/>
      <c r="Q5" s="490"/>
      <c r="R5" s="490"/>
      <c r="S5" s="490"/>
      <c r="T5" s="490"/>
      <c r="U5" s="490"/>
      <c r="V5" s="63"/>
    </row>
    <row r="6" spans="1:53" ht="15.75" thickBot="1">
      <c r="F6" s="60"/>
      <c r="L6" s="496" t="s">
        <v>654</v>
      </c>
      <c r="M6" s="496"/>
      <c r="N6" s="511" t="str">
        <f>AE18</f>
        <v/>
      </c>
      <c r="O6" s="512"/>
      <c r="P6" s="512"/>
      <c r="Q6" s="512"/>
      <c r="R6" s="512"/>
      <c r="S6" s="512"/>
      <c r="T6" s="512"/>
      <c r="U6" s="513"/>
      <c r="X6" s="66"/>
    </row>
    <row r="7" spans="1:53" ht="49.5" customHeight="1" thickTop="1" thickBot="1">
      <c r="A7" s="67" t="s">
        <v>144</v>
      </c>
      <c r="B7" s="68" t="s">
        <v>145</v>
      </c>
      <c r="C7" s="68" t="s">
        <v>162</v>
      </c>
      <c r="D7" s="68" t="s">
        <v>453</v>
      </c>
      <c r="E7" s="68" t="s">
        <v>204</v>
      </c>
      <c r="F7" s="98" t="s">
        <v>146</v>
      </c>
      <c r="G7" s="77" t="s">
        <v>147</v>
      </c>
      <c r="H7" s="70" t="s">
        <v>14</v>
      </c>
      <c r="I7" s="70" t="s">
        <v>163</v>
      </c>
      <c r="J7" s="492" t="s">
        <v>13</v>
      </c>
      <c r="K7" s="493"/>
      <c r="L7" s="68" t="s">
        <v>184</v>
      </c>
      <c r="M7" s="505" t="s">
        <v>420</v>
      </c>
      <c r="N7" s="506"/>
      <c r="O7" s="68" t="s">
        <v>188</v>
      </c>
      <c r="P7" s="68" t="s">
        <v>189</v>
      </c>
      <c r="Q7" s="68" t="s">
        <v>185</v>
      </c>
      <c r="R7" s="68" t="s">
        <v>190</v>
      </c>
      <c r="S7" s="68" t="s">
        <v>370</v>
      </c>
      <c r="T7" s="68" t="s">
        <v>371</v>
      </c>
      <c r="U7" s="494" t="s">
        <v>203</v>
      </c>
      <c r="V7" s="535"/>
      <c r="W7" s="238"/>
      <c r="X7" s="238"/>
    </row>
    <row r="8" spans="1:53" ht="36.75" customHeight="1" thickTop="1">
      <c r="A8" s="51">
        <v>1</v>
      </c>
      <c r="B8" s="9"/>
      <c r="C8" s="100"/>
      <c r="D8" s="100"/>
      <c r="E8" s="119"/>
      <c r="F8" s="24"/>
      <c r="G8" s="24"/>
      <c r="H8" s="24"/>
      <c r="I8" s="24"/>
      <c r="J8" s="480"/>
      <c r="K8" s="481"/>
      <c r="L8" s="11"/>
      <c r="M8" s="507"/>
      <c r="N8" s="508"/>
      <c r="O8" s="25"/>
      <c r="P8" s="25"/>
      <c r="Q8" s="25"/>
      <c r="R8" s="25"/>
      <c r="S8" s="25"/>
      <c r="T8" s="87" t="str">
        <f>IF(S8="Yes",AY8*C8, "N/A")</f>
        <v>N/A</v>
      </c>
      <c r="U8" s="536"/>
      <c r="V8" s="537"/>
      <c r="W8" s="236"/>
      <c r="X8" s="237"/>
      <c r="AB8" s="55" t="str">
        <f>IF(AND(O8="Yes",Q8=""),"Enter","OK")</f>
        <v>OK</v>
      </c>
      <c r="AC8" s="33" t="str">
        <f>IF(AND(O8="Yes",P8=""),"Enter","OK")</f>
        <v>OK</v>
      </c>
      <c r="AD8" s="55" t="b">
        <f>IF(O8="Yes",Data!$CU$2, IF('Vertical Blinds'!O8="No",Data!$CV$2))</f>
        <v>0</v>
      </c>
      <c r="AE8" s="33" t="str">
        <f>IF(COUNTIF($H$8:$H$27,Data!KF3),Data!KG3,"")</f>
        <v/>
      </c>
      <c r="AF8" s="33" t="str">
        <f>IF(SUM(--ISNUMBER(SEARCH({"Bay","Corner"}, K8:K17))),"Yes","No")</f>
        <v>No</v>
      </c>
      <c r="AY8" s="55">
        <f t="shared" ref="AY8:AY27" si="0">IF(F8&lt;1000,2,IF(F8&lt;2000,3,IF(F8&lt;2500,4,IF(F8&lt;3000,6,IF(F8&lt;3500,7,IF(F8&lt;4000,8,IF(F8&lt;4801,9,IF(F8&gt;=4801,"N/A"))))))))</f>
        <v>2</v>
      </c>
      <c r="AZ8" s="55" t="b">
        <f>IF(D8=Data!$DG$3,Data!$CF$2,IF(D8=Data!$DG$4,Data!$CG$2,IF(D8=Data!$DG$5,Data!$CH$2)))</f>
        <v>0</v>
      </c>
      <c r="BA8" s="55" t="b">
        <f>IF(D8=Data!$DG$3,Data!$DI$2,IF(D8=Data!$DG$4,Data!$DJ$2,IF(D8=Data!$DG$5,Data!$DK$2)))</f>
        <v>0</v>
      </c>
    </row>
    <row r="9" spans="1:53" ht="36.75" customHeight="1">
      <c r="A9" s="52">
        <v>2</v>
      </c>
      <c r="B9" s="13"/>
      <c r="C9" s="17"/>
      <c r="D9" s="17"/>
      <c r="E9" s="118"/>
      <c r="F9" s="14"/>
      <c r="G9" s="14"/>
      <c r="H9" s="14"/>
      <c r="I9" s="14"/>
      <c r="J9" s="484"/>
      <c r="K9" s="485"/>
      <c r="L9" s="15"/>
      <c r="M9" s="514"/>
      <c r="N9" s="515"/>
      <c r="O9" s="13"/>
      <c r="P9" s="13"/>
      <c r="Q9" s="13"/>
      <c r="R9" s="13"/>
      <c r="S9" s="13"/>
      <c r="T9" s="88" t="str">
        <f t="shared" ref="T9:T27" si="1">IF(S9="Yes",AY9*C9, "N/A")</f>
        <v>N/A</v>
      </c>
      <c r="U9" s="531"/>
      <c r="V9" s="532"/>
      <c r="W9" s="236"/>
      <c r="X9" s="237"/>
      <c r="AB9" s="55" t="str">
        <f t="shared" ref="AB9:AB27" si="2">IF(AND(O9="Yes",Q9=""),"Enter","OK")</f>
        <v>OK</v>
      </c>
      <c r="AC9" s="33" t="str">
        <f t="shared" ref="AC9:AC27" si="3">IF(AND(O9="Yes",P9=""),"Enter","OK")</f>
        <v>OK</v>
      </c>
      <c r="AD9" s="55" t="b">
        <f>IF(O9="Yes",Data!$CU$2, IF('Vertical Blinds'!O9="No",Data!$CV$2))</f>
        <v>0</v>
      </c>
      <c r="AE9" s="33" t="str">
        <f>IF(COUNTIF($H$8:$H$27,Data!KF4),Data!KG4,"")</f>
        <v/>
      </c>
      <c r="AF9" s="33"/>
      <c r="AY9" s="55">
        <f t="shared" si="0"/>
        <v>2</v>
      </c>
      <c r="AZ9" s="55" t="b">
        <f>IF(D9=Data!$DG$3,Data!$CF$2,IF(D9=Data!$DG$4,Data!$CG$2,IF(D9=Data!$DG$5,Data!$CH$2)))</f>
        <v>0</v>
      </c>
      <c r="BA9" s="55" t="b">
        <f>IF(D9=Data!$DG$3,Data!$DI$2,IF(D9=Data!$DG$4,Data!$DJ$2,IF(D9=Data!$DG$5,Data!$DK$2)))</f>
        <v>0</v>
      </c>
    </row>
    <row r="10" spans="1:53" ht="36.75" customHeight="1">
      <c r="A10" s="53">
        <v>3</v>
      </c>
      <c r="B10" s="17"/>
      <c r="C10" s="17"/>
      <c r="D10" s="17"/>
      <c r="E10" s="118"/>
      <c r="F10" s="14"/>
      <c r="G10" s="14"/>
      <c r="H10" s="14"/>
      <c r="I10" s="14"/>
      <c r="J10" s="484"/>
      <c r="K10" s="485"/>
      <c r="L10" s="15"/>
      <c r="M10" s="514"/>
      <c r="N10" s="515"/>
      <c r="O10" s="13"/>
      <c r="P10" s="13"/>
      <c r="Q10" s="13"/>
      <c r="R10" s="13"/>
      <c r="S10" s="13"/>
      <c r="T10" s="88" t="str">
        <f t="shared" si="1"/>
        <v>N/A</v>
      </c>
      <c r="U10" s="531"/>
      <c r="V10" s="532"/>
      <c r="W10" s="236"/>
      <c r="X10" s="237"/>
      <c r="AB10" s="55" t="str">
        <f t="shared" si="2"/>
        <v>OK</v>
      </c>
      <c r="AC10" s="33" t="str">
        <f t="shared" si="3"/>
        <v>OK</v>
      </c>
      <c r="AD10" s="55" t="b">
        <f>IF(O10="Yes",Data!$CU$2, IF('Vertical Blinds'!O10="No",Data!$CV$2))</f>
        <v>0</v>
      </c>
      <c r="AE10" s="33" t="str">
        <f>IF(COUNTIF($H$8:$H$27,Data!KF5),Data!KG5,"")</f>
        <v/>
      </c>
      <c r="AF10" s="33"/>
      <c r="AY10" s="55">
        <f t="shared" si="0"/>
        <v>2</v>
      </c>
      <c r="AZ10" s="55" t="b">
        <f>IF(D10=Data!$DG$3,Data!$CF$2,IF(D10=Data!$DG$4,Data!$CG$2,IF(D10=Data!$DG$5,Data!$CH$2)))</f>
        <v>0</v>
      </c>
      <c r="BA10" s="55" t="b">
        <f>IF(D10=Data!$DG$3,Data!$DI$2,IF(D10=Data!$DG$4,Data!$DJ$2,IF(D10=Data!$DG$5,Data!$DK$2)))</f>
        <v>0</v>
      </c>
    </row>
    <row r="11" spans="1:53" ht="36.75" customHeight="1">
      <c r="A11" s="53">
        <v>4</v>
      </c>
      <c r="B11" s="17"/>
      <c r="C11" s="17"/>
      <c r="D11" s="17"/>
      <c r="E11" s="118"/>
      <c r="F11" s="14"/>
      <c r="G11" s="14"/>
      <c r="H11" s="14"/>
      <c r="I11" s="14"/>
      <c r="J11" s="484"/>
      <c r="K11" s="485"/>
      <c r="L11" s="15"/>
      <c r="M11" s="514"/>
      <c r="N11" s="515"/>
      <c r="O11" s="13"/>
      <c r="P11" s="13"/>
      <c r="Q11" s="13"/>
      <c r="R11" s="13"/>
      <c r="S11" s="13"/>
      <c r="T11" s="88" t="str">
        <f t="shared" si="1"/>
        <v>N/A</v>
      </c>
      <c r="U11" s="531"/>
      <c r="V11" s="532"/>
      <c r="W11" s="236"/>
      <c r="X11" s="237"/>
      <c r="AB11" s="55" t="str">
        <f t="shared" si="2"/>
        <v>OK</v>
      </c>
      <c r="AC11" s="33" t="str">
        <f t="shared" si="3"/>
        <v>OK</v>
      </c>
      <c r="AD11" s="55" t="b">
        <f>IF(O11="Yes",Data!$CU$2, IF('Vertical Blinds'!O11="No",Data!$CV$2))</f>
        <v>0</v>
      </c>
      <c r="AE11" s="33" t="str">
        <f>IF(COUNTIF($H$8:$H$27,Data!KF6),Data!KG6,"")</f>
        <v/>
      </c>
      <c r="AF11" s="33"/>
      <c r="AY11" s="55">
        <f t="shared" si="0"/>
        <v>2</v>
      </c>
      <c r="AZ11" s="55" t="b">
        <f>IF(D11=Data!$DG$3,Data!$CF$2,IF(D11=Data!$DG$4,Data!$CG$2,IF(D11=Data!$DG$5,Data!$CH$2)))</f>
        <v>0</v>
      </c>
      <c r="BA11" s="55" t="b">
        <f>IF(D11=Data!$DG$3,Data!$DI$2,IF(D11=Data!$DG$4,Data!$DJ$2,IF(D11=Data!$DG$5,Data!$DK$2)))</f>
        <v>0</v>
      </c>
    </row>
    <row r="12" spans="1:53" ht="36.75" customHeight="1">
      <c r="A12" s="53">
        <v>5</v>
      </c>
      <c r="B12" s="17"/>
      <c r="C12" s="17"/>
      <c r="D12" s="17"/>
      <c r="E12" s="118"/>
      <c r="F12" s="14"/>
      <c r="G12" s="14"/>
      <c r="H12" s="14"/>
      <c r="I12" s="14"/>
      <c r="J12" s="484"/>
      <c r="K12" s="485"/>
      <c r="L12" s="15"/>
      <c r="M12" s="514"/>
      <c r="N12" s="515"/>
      <c r="O12" s="13"/>
      <c r="P12" s="13"/>
      <c r="Q12" s="13"/>
      <c r="R12" s="13"/>
      <c r="S12" s="13"/>
      <c r="T12" s="88" t="str">
        <f t="shared" si="1"/>
        <v>N/A</v>
      </c>
      <c r="U12" s="531"/>
      <c r="V12" s="532"/>
      <c r="W12" s="236"/>
      <c r="X12" s="237"/>
      <c r="AB12" s="55" t="str">
        <f t="shared" si="2"/>
        <v>OK</v>
      </c>
      <c r="AC12" s="33" t="str">
        <f t="shared" si="3"/>
        <v>OK</v>
      </c>
      <c r="AD12" s="55" t="b">
        <f>IF(O12="Yes",Data!$CU$2, IF('Vertical Blinds'!O12="No",Data!$CV$2))</f>
        <v>0</v>
      </c>
      <c r="AE12" s="33" t="str">
        <f>IF(COUNTIF($H$8:$H$27,Data!KF7),Data!KG7,"")</f>
        <v/>
      </c>
      <c r="AF12" s="33"/>
      <c r="AY12" s="55">
        <f t="shared" si="0"/>
        <v>2</v>
      </c>
      <c r="AZ12" s="55" t="b">
        <f>IF(D12=Data!$DG$3,Data!$CF$2,IF(D12=Data!$DG$4,Data!$CG$2,IF(D12=Data!$DG$5,Data!$CH$2)))</f>
        <v>0</v>
      </c>
      <c r="BA12" s="55" t="b">
        <f>IF(D12=Data!$DG$3,Data!$DI$2,IF(D12=Data!$DG$4,Data!$DJ$2,IF(D12=Data!$DG$5,Data!$DK$2)))</f>
        <v>0</v>
      </c>
    </row>
    <row r="13" spans="1:53" ht="36.75" customHeight="1">
      <c r="A13" s="53">
        <v>6</v>
      </c>
      <c r="B13" s="17"/>
      <c r="C13" s="17"/>
      <c r="D13" s="17"/>
      <c r="E13" s="118"/>
      <c r="F13" s="14"/>
      <c r="G13" s="14"/>
      <c r="H13" s="14"/>
      <c r="I13" s="14"/>
      <c r="J13" s="484"/>
      <c r="K13" s="485"/>
      <c r="L13" s="15"/>
      <c r="M13" s="514"/>
      <c r="N13" s="515"/>
      <c r="O13" s="13"/>
      <c r="P13" s="13"/>
      <c r="Q13" s="13"/>
      <c r="R13" s="13"/>
      <c r="S13" s="13"/>
      <c r="T13" s="88" t="str">
        <f t="shared" si="1"/>
        <v>N/A</v>
      </c>
      <c r="U13" s="531"/>
      <c r="V13" s="532"/>
      <c r="W13" s="236"/>
      <c r="X13" s="237"/>
      <c r="AB13" s="55" t="str">
        <f t="shared" si="2"/>
        <v>OK</v>
      </c>
      <c r="AC13" s="33" t="str">
        <f t="shared" si="3"/>
        <v>OK</v>
      </c>
      <c r="AD13" s="55" t="b">
        <f>IF(O13="Yes",Data!$CU$2, IF('Vertical Blinds'!O13="No",Data!$CV$2))</f>
        <v>0</v>
      </c>
      <c r="AE13" s="33" t="str">
        <f>IF(COUNTIF($H$8:$H$27,Data!KF8),Data!KG8,"")</f>
        <v/>
      </c>
      <c r="AF13" s="33"/>
      <c r="AY13" s="55">
        <f t="shared" si="0"/>
        <v>2</v>
      </c>
      <c r="AZ13" s="55" t="b">
        <f>IF(D13=Data!$DG$3,Data!$CF$2,IF(D13=Data!$DG$4,Data!$CG$2,IF(D13=Data!$DG$5,Data!$CH$2)))</f>
        <v>0</v>
      </c>
      <c r="BA13" s="55" t="b">
        <f>IF(D13=Data!$DG$3,Data!$DI$2,IF(D13=Data!$DG$4,Data!$DJ$2,IF(D13=Data!$DG$5,Data!$DK$2)))</f>
        <v>0</v>
      </c>
    </row>
    <row r="14" spans="1:53" ht="36.75" customHeight="1">
      <c r="A14" s="53">
        <v>7</v>
      </c>
      <c r="B14" s="17"/>
      <c r="C14" s="17"/>
      <c r="D14" s="17"/>
      <c r="E14" s="118"/>
      <c r="F14" s="14"/>
      <c r="G14" s="14"/>
      <c r="H14" s="14"/>
      <c r="I14" s="14"/>
      <c r="J14" s="484"/>
      <c r="K14" s="485"/>
      <c r="L14" s="15"/>
      <c r="M14" s="514"/>
      <c r="N14" s="515"/>
      <c r="O14" s="13"/>
      <c r="P14" s="13"/>
      <c r="Q14" s="13"/>
      <c r="R14" s="13"/>
      <c r="S14" s="13"/>
      <c r="T14" s="88" t="str">
        <f t="shared" si="1"/>
        <v>N/A</v>
      </c>
      <c r="U14" s="531"/>
      <c r="V14" s="532"/>
      <c r="W14" s="236"/>
      <c r="X14" s="237"/>
      <c r="AB14" s="55" t="str">
        <f t="shared" si="2"/>
        <v>OK</v>
      </c>
      <c r="AC14" s="33" t="str">
        <f t="shared" si="3"/>
        <v>OK</v>
      </c>
      <c r="AD14" s="55" t="b">
        <f>IF(O14="Yes",Data!$CU$2, IF('Vertical Blinds'!O14="No",Data!$CV$2))</f>
        <v>0</v>
      </c>
      <c r="AE14" s="33" t="str">
        <f>IF(COUNTIF($H$8:$H$27,Data!KF9),Data!KG9,"")</f>
        <v/>
      </c>
      <c r="AF14" s="33"/>
      <c r="AY14" s="55">
        <f t="shared" si="0"/>
        <v>2</v>
      </c>
      <c r="AZ14" s="55" t="b">
        <f>IF(D14=Data!$DG$3,Data!$CF$2,IF(D14=Data!$DG$4,Data!$CG$2,IF(D14=Data!$DG$5,Data!$CH$2)))</f>
        <v>0</v>
      </c>
      <c r="BA14" s="55" t="b">
        <f>IF(D14=Data!$DG$3,Data!$DI$2,IF(D14=Data!$DG$4,Data!$DJ$2,IF(D14=Data!$DG$5,Data!$DK$2)))</f>
        <v>0</v>
      </c>
    </row>
    <row r="15" spans="1:53" ht="36.75" customHeight="1">
      <c r="A15" s="53">
        <v>8</v>
      </c>
      <c r="B15" s="17"/>
      <c r="C15" s="20"/>
      <c r="D15" s="17"/>
      <c r="E15" s="118"/>
      <c r="F15" s="14"/>
      <c r="G15" s="14"/>
      <c r="H15" s="14"/>
      <c r="I15" s="14"/>
      <c r="J15" s="484"/>
      <c r="K15" s="485"/>
      <c r="L15" s="15"/>
      <c r="M15" s="514"/>
      <c r="N15" s="515"/>
      <c r="O15" s="13"/>
      <c r="P15" s="13"/>
      <c r="Q15" s="13"/>
      <c r="R15" s="13"/>
      <c r="S15" s="13"/>
      <c r="T15" s="88" t="str">
        <f t="shared" si="1"/>
        <v>N/A</v>
      </c>
      <c r="U15" s="531"/>
      <c r="V15" s="532"/>
      <c r="W15" s="236"/>
      <c r="X15" s="237"/>
      <c r="AB15" s="55" t="str">
        <f t="shared" si="2"/>
        <v>OK</v>
      </c>
      <c r="AC15" s="33" t="str">
        <f t="shared" si="3"/>
        <v>OK</v>
      </c>
      <c r="AD15" s="55" t="b">
        <f>IF(O15="Yes",Data!$CU$2, IF('Vertical Blinds'!O15="No",Data!$CV$2))</f>
        <v>0</v>
      </c>
      <c r="AE15" s="33" t="str">
        <f>IF(COUNTIF(AE8:AE14,Data!KG6),Data!KH6,"")</f>
        <v/>
      </c>
      <c r="AF15" s="33"/>
      <c r="AY15" s="55">
        <f t="shared" si="0"/>
        <v>2</v>
      </c>
      <c r="AZ15" s="55" t="b">
        <f>IF(D15=Data!$DG$3,Data!$CF$2,IF(D15=Data!$DG$4,Data!$CG$2,IF(D15=Data!$DG$5,Data!$CH$2)))</f>
        <v>0</v>
      </c>
      <c r="BA15" s="55" t="b">
        <f>IF(D15=Data!$DG$3,Data!$DI$2,IF(D15=Data!$DG$4,Data!$DJ$2,IF(D15=Data!$DG$5,Data!$DK$2)))</f>
        <v>0</v>
      </c>
    </row>
    <row r="16" spans="1:53" ht="36.75" customHeight="1">
      <c r="A16" s="53">
        <v>9</v>
      </c>
      <c r="B16" s="17"/>
      <c r="C16" s="17"/>
      <c r="D16" s="17"/>
      <c r="E16" s="118"/>
      <c r="F16" s="14"/>
      <c r="G16" s="14"/>
      <c r="H16" s="14"/>
      <c r="I16" s="14"/>
      <c r="J16" s="484"/>
      <c r="K16" s="485"/>
      <c r="L16" s="15"/>
      <c r="M16" s="514"/>
      <c r="N16" s="515"/>
      <c r="O16" s="13"/>
      <c r="P16" s="13"/>
      <c r="Q16" s="13"/>
      <c r="R16" s="13"/>
      <c r="S16" s="13"/>
      <c r="T16" s="88" t="str">
        <f t="shared" si="1"/>
        <v>N/A</v>
      </c>
      <c r="U16" s="531"/>
      <c r="V16" s="532"/>
      <c r="W16" s="236"/>
      <c r="X16" s="237"/>
      <c r="AB16" s="55" t="str">
        <f t="shared" si="2"/>
        <v>OK</v>
      </c>
      <c r="AC16" s="33" t="str">
        <f t="shared" si="3"/>
        <v>OK</v>
      </c>
      <c r="AD16" s="55" t="b">
        <f>IF(O16="Yes",Data!$CU$2, IF('Vertical Blinds'!O16="No",Data!$CV$2))</f>
        <v>0</v>
      </c>
      <c r="AE16" s="33" t="str">
        <f>IF(COUNTIF(AE8:AE14,Data!KG7),Data!KH7,"")</f>
        <v/>
      </c>
      <c r="AF16" s="33"/>
      <c r="AY16" s="55">
        <f t="shared" si="0"/>
        <v>2</v>
      </c>
      <c r="AZ16" s="55" t="b">
        <f>IF(D16=Data!$DG$3,Data!$CF$2,IF(D16=Data!$DG$4,Data!$CG$2,IF(D16=Data!$DG$5,Data!$CH$2)))</f>
        <v>0</v>
      </c>
      <c r="BA16" s="55" t="b">
        <f>IF(D16=Data!$DG$3,Data!$DI$2,IF(D16=Data!$DG$4,Data!$DJ$2,IF(D16=Data!$DG$5,Data!$DK$2)))</f>
        <v>0</v>
      </c>
    </row>
    <row r="17" spans="1:53" ht="36.75" customHeight="1">
      <c r="A17" s="53">
        <v>10</v>
      </c>
      <c r="B17" s="17"/>
      <c r="C17" s="17"/>
      <c r="D17" s="17"/>
      <c r="E17" s="118"/>
      <c r="F17" s="14"/>
      <c r="G17" s="14"/>
      <c r="H17" s="14"/>
      <c r="I17" s="14"/>
      <c r="J17" s="484"/>
      <c r="K17" s="485"/>
      <c r="L17" s="15"/>
      <c r="M17" s="514"/>
      <c r="N17" s="515"/>
      <c r="O17" s="13"/>
      <c r="P17" s="13"/>
      <c r="Q17" s="13"/>
      <c r="R17" s="13"/>
      <c r="S17" s="13"/>
      <c r="T17" s="88" t="str">
        <f t="shared" si="1"/>
        <v>N/A</v>
      </c>
      <c r="U17" s="531"/>
      <c r="V17" s="532"/>
      <c r="W17" s="236"/>
      <c r="X17" s="237"/>
      <c r="AB17" s="55" t="str">
        <f t="shared" si="2"/>
        <v>OK</v>
      </c>
      <c r="AC17" s="33" t="str">
        <f t="shared" si="3"/>
        <v>OK</v>
      </c>
      <c r="AD17" s="55" t="b">
        <f>IF(O17="Yes",Data!$CU$2, IF('Vertical Blinds'!O17="No",Data!$CV$2))</f>
        <v>0</v>
      </c>
      <c r="AE17" s="33" t="str">
        <f>AE15&amp;" &amp; "&amp;AE16&amp;""</f>
        <v xml:space="preserve"> &amp; </v>
      </c>
      <c r="AF17" s="33"/>
      <c r="AY17" s="55">
        <f t="shared" si="0"/>
        <v>2</v>
      </c>
      <c r="AZ17" s="55" t="b">
        <f>IF(D17=Data!$DG$3,Data!$CF$2,IF(D17=Data!$DG$4,Data!$CG$2,IF(D17=Data!$DG$5,Data!$CH$2)))</f>
        <v>0</v>
      </c>
      <c r="BA17" s="55" t="b">
        <f>IF(D17=Data!$DG$3,Data!$DI$2,IF(D17=Data!$DG$4,Data!$DJ$2,IF(D17=Data!$DG$5,Data!$DK$2)))</f>
        <v>0</v>
      </c>
    </row>
    <row r="18" spans="1:53" ht="36.75" customHeight="1">
      <c r="A18" s="53">
        <v>11</v>
      </c>
      <c r="B18" s="17"/>
      <c r="C18" s="17"/>
      <c r="D18" s="17"/>
      <c r="E18" s="118"/>
      <c r="F18" s="14"/>
      <c r="G18" s="14"/>
      <c r="H18" s="14"/>
      <c r="I18" s="14"/>
      <c r="J18" s="484"/>
      <c r="K18" s="485"/>
      <c r="L18" s="15"/>
      <c r="M18" s="514"/>
      <c r="N18" s="515"/>
      <c r="O18" s="13"/>
      <c r="P18" s="13"/>
      <c r="Q18" s="13"/>
      <c r="R18" s="13"/>
      <c r="S18" s="13"/>
      <c r="T18" s="88" t="str">
        <f t="shared" si="1"/>
        <v>N/A</v>
      </c>
      <c r="U18" s="531"/>
      <c r="V18" s="532"/>
      <c r="W18" s="236"/>
      <c r="X18" s="237"/>
      <c r="AB18" s="55" t="str">
        <f t="shared" si="2"/>
        <v>OK</v>
      </c>
      <c r="AC18" s="33" t="str">
        <f t="shared" si="3"/>
        <v>OK</v>
      </c>
      <c r="AD18" s="55" t="b">
        <f>IF(O18="Yes",Data!$CU$2, IF('Vertical Blinds'!O18="No",Data!$CV$2))</f>
        <v>0</v>
      </c>
      <c r="AE18" s="33" t="str">
        <f>IF(AE17="Corner &amp; Bay","Corner &amp; Bay Window Diagram Must Be Supplied",IF(AE15="Corner","Corner Window Diagram Must Be Supplied",IF(AE16="Bay","Bay Window Diagram Must Be Supplied","")))</f>
        <v/>
      </c>
      <c r="AF18" s="33"/>
      <c r="AY18" s="55">
        <f t="shared" si="0"/>
        <v>2</v>
      </c>
      <c r="AZ18" s="55" t="b">
        <f>IF(D18=Data!$DG$3,Data!$CF$2,IF(D18=Data!$DG$4,Data!$CG$2,IF(D18=Data!$DG$5,Data!$CH$2)))</f>
        <v>0</v>
      </c>
      <c r="BA18" s="55" t="b">
        <f>IF(D18=Data!$DG$3,Data!$DI$2,IF(D18=Data!$DG$4,Data!$DJ$2,IF(D18=Data!$DG$5,Data!$DK$2)))</f>
        <v>0</v>
      </c>
    </row>
    <row r="19" spans="1:53" ht="36.75" customHeight="1">
      <c r="A19" s="53">
        <v>12</v>
      </c>
      <c r="B19" s="17"/>
      <c r="C19" s="17"/>
      <c r="D19" s="17"/>
      <c r="E19" s="118"/>
      <c r="F19" s="14"/>
      <c r="G19" s="14"/>
      <c r="H19" s="14"/>
      <c r="I19" s="14"/>
      <c r="J19" s="484"/>
      <c r="K19" s="485"/>
      <c r="L19" s="15"/>
      <c r="M19" s="514"/>
      <c r="N19" s="515"/>
      <c r="O19" s="13"/>
      <c r="P19" s="13"/>
      <c r="Q19" s="13"/>
      <c r="R19" s="13"/>
      <c r="S19" s="13"/>
      <c r="T19" s="88" t="str">
        <f t="shared" si="1"/>
        <v>N/A</v>
      </c>
      <c r="U19" s="531"/>
      <c r="V19" s="532"/>
      <c r="W19" s="236"/>
      <c r="X19" s="237"/>
      <c r="AB19" s="55" t="str">
        <f t="shared" si="2"/>
        <v>OK</v>
      </c>
      <c r="AC19" s="33" t="str">
        <f t="shared" si="3"/>
        <v>OK</v>
      </c>
      <c r="AD19" s="55" t="b">
        <f>IF(O19="Yes",Data!$CU$2, IF('Vertical Blinds'!O19="No",Data!$CV$2))</f>
        <v>0</v>
      </c>
      <c r="AY19" s="55">
        <f t="shared" si="0"/>
        <v>2</v>
      </c>
      <c r="AZ19" s="55" t="b">
        <f>IF(D19=Data!$DG$3,Data!$CF$2,IF(D19=Data!$DG$4,Data!$CG$2,IF(D19=Data!$DG$5,Data!$CH$2)))</f>
        <v>0</v>
      </c>
      <c r="BA19" s="55" t="b">
        <f>IF(D19=Data!$DG$3,Data!$DI$2,IF(D19=Data!$DG$4,Data!$DJ$2,IF(D19=Data!$DG$5,Data!$DK$2)))</f>
        <v>0</v>
      </c>
    </row>
    <row r="20" spans="1:53" ht="36.75" customHeight="1">
      <c r="A20" s="53">
        <v>13</v>
      </c>
      <c r="B20" s="17"/>
      <c r="C20" s="17"/>
      <c r="D20" s="17"/>
      <c r="E20" s="118"/>
      <c r="F20" s="14"/>
      <c r="G20" s="14"/>
      <c r="H20" s="14"/>
      <c r="I20" s="14"/>
      <c r="J20" s="484"/>
      <c r="K20" s="485"/>
      <c r="L20" s="15"/>
      <c r="M20" s="514"/>
      <c r="N20" s="515"/>
      <c r="O20" s="13"/>
      <c r="P20" s="13"/>
      <c r="Q20" s="13"/>
      <c r="R20" s="13"/>
      <c r="S20" s="13"/>
      <c r="T20" s="88" t="str">
        <f t="shared" si="1"/>
        <v>N/A</v>
      </c>
      <c r="U20" s="531"/>
      <c r="V20" s="532"/>
      <c r="W20" s="236"/>
      <c r="X20" s="237"/>
      <c r="AB20" s="55" t="str">
        <f t="shared" si="2"/>
        <v>OK</v>
      </c>
      <c r="AC20" s="33" t="str">
        <f t="shared" si="3"/>
        <v>OK</v>
      </c>
      <c r="AD20" s="55" t="b">
        <f>IF(O20="Yes",Data!$CU$2, IF('Vertical Blinds'!O20="No",Data!$CV$2))</f>
        <v>0</v>
      </c>
      <c r="AY20" s="55">
        <f t="shared" si="0"/>
        <v>2</v>
      </c>
      <c r="AZ20" s="55" t="b">
        <f>IF(D20=Data!$DG$3,Data!$CF$2,IF(D20=Data!$DG$4,Data!$CG$2,IF(D20=Data!$DG$5,Data!$CH$2)))</f>
        <v>0</v>
      </c>
      <c r="BA20" s="55" t="b">
        <f>IF(D20=Data!$DG$3,Data!$DI$2,IF(D20=Data!$DG$4,Data!$DJ$2,IF(D20=Data!$DG$5,Data!$DK$2)))</f>
        <v>0</v>
      </c>
    </row>
    <row r="21" spans="1:53" ht="36.75" customHeight="1">
      <c r="A21" s="53">
        <v>14</v>
      </c>
      <c r="B21" s="17"/>
      <c r="C21" s="17"/>
      <c r="D21" s="17"/>
      <c r="E21" s="118"/>
      <c r="F21" s="14"/>
      <c r="G21" s="14"/>
      <c r="H21" s="14"/>
      <c r="I21" s="14"/>
      <c r="J21" s="484"/>
      <c r="K21" s="485"/>
      <c r="L21" s="15"/>
      <c r="M21" s="514"/>
      <c r="N21" s="515"/>
      <c r="O21" s="13"/>
      <c r="P21" s="13"/>
      <c r="Q21" s="13"/>
      <c r="R21" s="13"/>
      <c r="S21" s="13"/>
      <c r="T21" s="88" t="str">
        <f t="shared" si="1"/>
        <v>N/A</v>
      </c>
      <c r="U21" s="531"/>
      <c r="V21" s="532"/>
      <c r="W21" s="236"/>
      <c r="X21" s="237"/>
      <c r="AB21" s="55" t="str">
        <f t="shared" si="2"/>
        <v>OK</v>
      </c>
      <c r="AC21" s="33" t="str">
        <f t="shared" si="3"/>
        <v>OK</v>
      </c>
      <c r="AD21" s="55" t="b">
        <f>IF(O21="Yes",Data!$CU$2, IF('Vertical Blinds'!O21="No",Data!$CV$2))</f>
        <v>0</v>
      </c>
      <c r="AY21" s="55">
        <f t="shared" si="0"/>
        <v>2</v>
      </c>
      <c r="AZ21" s="55" t="b">
        <f>IF(D21=Data!$DG$3,Data!$CF$2,IF(D21=Data!$DG$4,Data!$CG$2,IF(D21=Data!$DG$5,Data!$CH$2)))</f>
        <v>0</v>
      </c>
      <c r="BA21" s="55" t="b">
        <f>IF(D21=Data!$DG$3,Data!$DI$2,IF(D21=Data!$DG$4,Data!$DJ$2,IF(D21=Data!$DG$5,Data!$DK$2)))</f>
        <v>0</v>
      </c>
    </row>
    <row r="22" spans="1:53" ht="36.75" customHeight="1">
      <c r="A22" s="53">
        <v>15</v>
      </c>
      <c r="B22" s="17"/>
      <c r="C22" s="17"/>
      <c r="D22" s="17"/>
      <c r="E22" s="118"/>
      <c r="F22" s="14"/>
      <c r="G22" s="14"/>
      <c r="H22" s="14"/>
      <c r="I22" s="14"/>
      <c r="J22" s="484"/>
      <c r="K22" s="485"/>
      <c r="L22" s="15"/>
      <c r="M22" s="514"/>
      <c r="N22" s="515"/>
      <c r="O22" s="13"/>
      <c r="P22" s="13"/>
      <c r="Q22" s="13"/>
      <c r="R22" s="13"/>
      <c r="S22" s="13"/>
      <c r="T22" s="88" t="str">
        <f t="shared" si="1"/>
        <v>N/A</v>
      </c>
      <c r="U22" s="531"/>
      <c r="V22" s="532"/>
      <c r="W22" s="236"/>
      <c r="X22" s="237"/>
      <c r="AB22" s="55" t="str">
        <f t="shared" si="2"/>
        <v>OK</v>
      </c>
      <c r="AC22" s="33" t="str">
        <f t="shared" si="3"/>
        <v>OK</v>
      </c>
      <c r="AD22" s="55" t="b">
        <f>IF(O22="Yes",Data!$CU$2, IF('Vertical Blinds'!O22="No",Data!$CV$2))</f>
        <v>0</v>
      </c>
      <c r="AY22" s="55">
        <f t="shared" si="0"/>
        <v>2</v>
      </c>
      <c r="AZ22" s="55" t="b">
        <f>IF(D22=Data!$DG$3,Data!$CF$2,IF(D22=Data!$DG$4,Data!$CG$2,IF(D22=Data!$DG$5,Data!$CH$2)))</f>
        <v>0</v>
      </c>
      <c r="BA22" s="55" t="b">
        <f>IF(D22=Data!$DG$3,Data!$DI$2,IF(D22=Data!$DG$4,Data!$DJ$2,IF(D22=Data!$DG$5,Data!$DK$2)))</f>
        <v>0</v>
      </c>
    </row>
    <row r="23" spans="1:53" ht="36.75" customHeight="1">
      <c r="A23" s="53">
        <v>16</v>
      </c>
      <c r="B23" s="17"/>
      <c r="C23" s="17"/>
      <c r="D23" s="17"/>
      <c r="E23" s="118"/>
      <c r="F23" s="14"/>
      <c r="G23" s="14"/>
      <c r="H23" s="14"/>
      <c r="I23" s="14"/>
      <c r="J23" s="484"/>
      <c r="K23" s="485"/>
      <c r="L23" s="15"/>
      <c r="M23" s="514"/>
      <c r="N23" s="515"/>
      <c r="O23" s="13"/>
      <c r="P23" s="13"/>
      <c r="Q23" s="13"/>
      <c r="R23" s="13"/>
      <c r="S23" s="13"/>
      <c r="T23" s="88" t="str">
        <f t="shared" si="1"/>
        <v>N/A</v>
      </c>
      <c r="U23" s="531"/>
      <c r="V23" s="532"/>
      <c r="W23" s="236"/>
      <c r="X23" s="237"/>
      <c r="AB23" s="55" t="str">
        <f t="shared" si="2"/>
        <v>OK</v>
      </c>
      <c r="AC23" s="33" t="str">
        <f t="shared" si="3"/>
        <v>OK</v>
      </c>
      <c r="AD23" s="55" t="b">
        <f>IF(O23="Yes",Data!$CU$2, IF('Vertical Blinds'!O23="No",Data!$CV$2))</f>
        <v>0</v>
      </c>
      <c r="AY23" s="55">
        <f t="shared" si="0"/>
        <v>2</v>
      </c>
      <c r="AZ23" s="55" t="b">
        <f>IF(D23=Data!$DG$3,Data!$CF$2,IF(D23=Data!$DG$4,Data!$CG$2,IF(D23=Data!$DG$5,Data!$CH$2)))</f>
        <v>0</v>
      </c>
      <c r="BA23" s="55" t="b">
        <f>IF(D23=Data!$DG$3,Data!$DI$2,IF(D23=Data!$DG$4,Data!$DJ$2,IF(D23=Data!$DG$5,Data!$DK$2)))</f>
        <v>0</v>
      </c>
    </row>
    <row r="24" spans="1:53" ht="36.75" customHeight="1">
      <c r="A24" s="53">
        <v>17</v>
      </c>
      <c r="B24" s="17"/>
      <c r="C24" s="20"/>
      <c r="D24" s="17"/>
      <c r="E24" s="118"/>
      <c r="F24" s="14"/>
      <c r="G24" s="14"/>
      <c r="H24" s="14"/>
      <c r="I24" s="14"/>
      <c r="J24" s="484"/>
      <c r="K24" s="485"/>
      <c r="L24" s="15"/>
      <c r="M24" s="514"/>
      <c r="N24" s="515"/>
      <c r="O24" s="13"/>
      <c r="P24" s="13"/>
      <c r="Q24" s="13"/>
      <c r="R24" s="13"/>
      <c r="S24" s="13"/>
      <c r="T24" s="88" t="str">
        <f t="shared" si="1"/>
        <v>N/A</v>
      </c>
      <c r="U24" s="531"/>
      <c r="V24" s="532"/>
      <c r="W24" s="236"/>
      <c r="X24" s="237"/>
      <c r="AB24" s="55" t="str">
        <f t="shared" si="2"/>
        <v>OK</v>
      </c>
      <c r="AC24" s="33" t="str">
        <f t="shared" si="3"/>
        <v>OK</v>
      </c>
      <c r="AD24" s="55" t="b">
        <f>IF(O24="Yes",Data!$CU$2, IF('Vertical Blinds'!O24="No",Data!$CV$2))</f>
        <v>0</v>
      </c>
      <c r="AY24" s="55">
        <f t="shared" si="0"/>
        <v>2</v>
      </c>
      <c r="AZ24" s="55" t="b">
        <f>IF(D24=Data!$DG$3,Data!$CF$2,IF(D24=Data!$DG$4,Data!$CG$2,IF(D24=Data!$DG$5,Data!$CH$2)))</f>
        <v>0</v>
      </c>
      <c r="BA24" s="55" t="b">
        <f>IF(D24=Data!$DG$3,Data!$DI$2,IF(D24=Data!$DG$4,Data!$DJ$2,IF(D24=Data!$DG$5,Data!$DK$2)))</f>
        <v>0</v>
      </c>
    </row>
    <row r="25" spans="1:53" ht="36.75" customHeight="1">
      <c r="A25" s="53">
        <v>18</v>
      </c>
      <c r="B25" s="17"/>
      <c r="C25" s="17"/>
      <c r="D25" s="17"/>
      <c r="E25" s="118"/>
      <c r="F25" s="14"/>
      <c r="G25" s="14"/>
      <c r="H25" s="14"/>
      <c r="I25" s="14"/>
      <c r="J25" s="484"/>
      <c r="K25" s="485"/>
      <c r="L25" s="15"/>
      <c r="M25" s="514"/>
      <c r="N25" s="515"/>
      <c r="O25" s="13"/>
      <c r="P25" s="13"/>
      <c r="Q25" s="13"/>
      <c r="R25" s="13"/>
      <c r="S25" s="13"/>
      <c r="T25" s="88" t="str">
        <f t="shared" si="1"/>
        <v>N/A</v>
      </c>
      <c r="U25" s="531"/>
      <c r="V25" s="532"/>
      <c r="W25" s="236"/>
      <c r="X25" s="237"/>
      <c r="AB25" s="55" t="str">
        <f t="shared" si="2"/>
        <v>OK</v>
      </c>
      <c r="AC25" s="33" t="str">
        <f t="shared" si="3"/>
        <v>OK</v>
      </c>
      <c r="AD25" s="55" t="b">
        <f>IF(O25="Yes",Data!$CU$2, IF('Vertical Blinds'!O25="No",Data!$CV$2))</f>
        <v>0</v>
      </c>
      <c r="AY25" s="55">
        <f t="shared" si="0"/>
        <v>2</v>
      </c>
      <c r="AZ25" s="55" t="b">
        <f>IF(D25=Data!$DG$3,Data!$CF$2,IF(D25=Data!$DG$4,Data!$CG$2,IF(D25=Data!$DG$5,Data!$CH$2)))</f>
        <v>0</v>
      </c>
      <c r="BA25" s="55" t="b">
        <f>IF(D25=Data!$DG$3,Data!$DI$2,IF(D25=Data!$DG$4,Data!$DJ$2,IF(D25=Data!$DG$5,Data!$DK$2)))</f>
        <v>0</v>
      </c>
    </row>
    <row r="26" spans="1:53" ht="36.75" customHeight="1">
      <c r="A26" s="53">
        <v>19</v>
      </c>
      <c r="B26" s="17"/>
      <c r="C26" s="17"/>
      <c r="D26" s="17"/>
      <c r="E26" s="118"/>
      <c r="F26" s="14"/>
      <c r="G26" s="14"/>
      <c r="H26" s="14"/>
      <c r="I26" s="14"/>
      <c r="J26" s="484"/>
      <c r="K26" s="485"/>
      <c r="L26" s="15"/>
      <c r="M26" s="514"/>
      <c r="N26" s="515"/>
      <c r="O26" s="13"/>
      <c r="P26" s="13"/>
      <c r="Q26" s="13"/>
      <c r="R26" s="13"/>
      <c r="S26" s="13"/>
      <c r="T26" s="88" t="str">
        <f t="shared" si="1"/>
        <v>N/A</v>
      </c>
      <c r="U26" s="531"/>
      <c r="V26" s="532"/>
      <c r="W26" s="236"/>
      <c r="X26" s="237"/>
      <c r="AB26" s="55" t="str">
        <f t="shared" si="2"/>
        <v>OK</v>
      </c>
      <c r="AC26" s="33" t="str">
        <f t="shared" si="3"/>
        <v>OK</v>
      </c>
      <c r="AD26" s="55" t="b">
        <f>IF(O26="Yes",Data!$CU$2, IF('Vertical Blinds'!O26="No",Data!$CV$2))</f>
        <v>0</v>
      </c>
      <c r="AY26" s="55">
        <f t="shared" si="0"/>
        <v>2</v>
      </c>
      <c r="AZ26" s="55" t="b">
        <f>IF(D26=Data!$DG$3,Data!$CF$2,IF(D26=Data!$DG$4,Data!$CG$2,IF(D26=Data!$DG$5,Data!$CH$2)))</f>
        <v>0</v>
      </c>
      <c r="BA26" s="55" t="b">
        <f>IF(D26=Data!$DG$3,Data!$DI$2,IF(D26=Data!$DG$4,Data!$DJ$2,IF(D26=Data!$DG$5,Data!$DK$2)))</f>
        <v>0</v>
      </c>
    </row>
    <row r="27" spans="1:53" ht="36.75" customHeight="1" thickBot="1">
      <c r="A27" s="54">
        <v>20</v>
      </c>
      <c r="B27" s="21"/>
      <c r="C27" s="99"/>
      <c r="D27" s="21"/>
      <c r="E27" s="117"/>
      <c r="F27" s="22"/>
      <c r="G27" s="22"/>
      <c r="H27" s="22"/>
      <c r="I27" s="22"/>
      <c r="J27" s="498"/>
      <c r="K27" s="499"/>
      <c r="L27" s="44"/>
      <c r="M27" s="516"/>
      <c r="N27" s="517"/>
      <c r="O27" s="21"/>
      <c r="P27" s="21"/>
      <c r="Q27" s="21"/>
      <c r="R27" s="21"/>
      <c r="S27" s="21"/>
      <c r="T27" s="89" t="str">
        <f t="shared" si="1"/>
        <v>N/A</v>
      </c>
      <c r="U27" s="533"/>
      <c r="V27" s="534"/>
      <c r="W27" s="236"/>
      <c r="X27" s="237"/>
      <c r="AB27" s="55" t="str">
        <f t="shared" si="2"/>
        <v>OK</v>
      </c>
      <c r="AC27" s="33" t="str">
        <f t="shared" si="3"/>
        <v>OK</v>
      </c>
      <c r="AD27" s="55" t="b">
        <f>IF(O27="Yes",Data!$CU$2, IF('Vertical Blinds'!O27="No",Data!$CV$2))</f>
        <v>0</v>
      </c>
      <c r="AY27" s="55">
        <f t="shared" si="0"/>
        <v>2</v>
      </c>
      <c r="AZ27" s="55" t="b">
        <f>IF(D27=Data!$DG$3,Data!$CF$2,IF(D27=Data!$DG$4,Data!$CG$2,IF(D27=Data!$DG$5,Data!$CH$2)))</f>
        <v>0</v>
      </c>
      <c r="BA27" s="55" t="b">
        <f>IF(D27=Data!$DG$3,Data!$DI$2,IF(D27=Data!$DG$4,Data!$DJ$2,IF(D27=Data!$DG$5,Data!$DK$2)))</f>
        <v>0</v>
      </c>
    </row>
    <row r="28" spans="1:53" ht="15.75" thickTop="1"/>
  </sheetData>
  <sheetProtection password="A0FF" sheet="1" objects="1" scenarios="1"/>
  <mergeCells count="80">
    <mergeCell ref="L1:M1"/>
    <mergeCell ref="L2:M2"/>
    <mergeCell ref="L3:M3"/>
    <mergeCell ref="N1:U1"/>
    <mergeCell ref="N2:U2"/>
    <mergeCell ref="N3:U3"/>
    <mergeCell ref="J23:K23"/>
    <mergeCell ref="M23:N23"/>
    <mergeCell ref="J24:K24"/>
    <mergeCell ref="M24:N24"/>
    <mergeCell ref="J21:K21"/>
    <mergeCell ref="M21:N21"/>
    <mergeCell ref="J22:K22"/>
    <mergeCell ref="J27:K27"/>
    <mergeCell ref="M27:N27"/>
    <mergeCell ref="J25:K25"/>
    <mergeCell ref="M25:N25"/>
    <mergeCell ref="J26:K26"/>
    <mergeCell ref="M26:N26"/>
    <mergeCell ref="M18:N18"/>
    <mergeCell ref="M22:N22"/>
    <mergeCell ref="J19:K19"/>
    <mergeCell ref="M19:N19"/>
    <mergeCell ref="J20:K20"/>
    <mergeCell ref="M20:N20"/>
    <mergeCell ref="J18:K18"/>
    <mergeCell ref="J16:K16"/>
    <mergeCell ref="M16:N16"/>
    <mergeCell ref="J17:K17"/>
    <mergeCell ref="J13:K13"/>
    <mergeCell ref="M13:N13"/>
    <mergeCell ref="M17:N17"/>
    <mergeCell ref="J14:K14"/>
    <mergeCell ref="M14:N14"/>
    <mergeCell ref="J15:K15"/>
    <mergeCell ref="M15:N15"/>
    <mergeCell ref="F2:J2"/>
    <mergeCell ref="D4:E4"/>
    <mergeCell ref="F4:G4"/>
    <mergeCell ref="J7:K7"/>
    <mergeCell ref="H4:J4"/>
    <mergeCell ref="M11:N11"/>
    <mergeCell ref="J12:K12"/>
    <mergeCell ref="M12:N12"/>
    <mergeCell ref="J9:K9"/>
    <mergeCell ref="M9:N9"/>
    <mergeCell ref="J10:K10"/>
    <mergeCell ref="M10:N10"/>
    <mergeCell ref="U20:V20"/>
    <mergeCell ref="U14:V14"/>
    <mergeCell ref="U15:V15"/>
    <mergeCell ref="A4:C4"/>
    <mergeCell ref="M7:N7"/>
    <mergeCell ref="J8:K8"/>
    <mergeCell ref="M8:N8"/>
    <mergeCell ref="L4:M4"/>
    <mergeCell ref="L5:M5"/>
    <mergeCell ref="N5:U5"/>
    <mergeCell ref="L6:M6"/>
    <mergeCell ref="N6:U6"/>
    <mergeCell ref="U7:V7"/>
    <mergeCell ref="U8:V8"/>
    <mergeCell ref="N4:U4"/>
    <mergeCell ref="J11:K11"/>
    <mergeCell ref="U9:V9"/>
    <mergeCell ref="U13:V13"/>
    <mergeCell ref="U27:V27"/>
    <mergeCell ref="U26:V26"/>
    <mergeCell ref="U25:V25"/>
    <mergeCell ref="U24:V24"/>
    <mergeCell ref="U23:V23"/>
    <mergeCell ref="U22:V22"/>
    <mergeCell ref="U21:V21"/>
    <mergeCell ref="U10:V10"/>
    <mergeCell ref="U11:V11"/>
    <mergeCell ref="U12:V12"/>
    <mergeCell ref="U16:V16"/>
    <mergeCell ref="U17:V17"/>
    <mergeCell ref="U18:V18"/>
    <mergeCell ref="U19:V19"/>
  </mergeCells>
  <conditionalFormatting sqref="C8:C27">
    <cfRule type="cellIs" dxfId="119" priority="9" stopIfTrue="1" operator="greaterThan">
      <formula>1</formula>
    </cfRule>
  </conditionalFormatting>
  <conditionalFormatting sqref="O8:O27 S8:S27">
    <cfRule type="containsText" dxfId="118" priority="8" stopIfTrue="1" operator="containsText" text="Yes">
      <formula>NOT(ISERROR(SEARCH("Yes",O8)))</formula>
    </cfRule>
  </conditionalFormatting>
  <conditionalFormatting sqref="T8:T27">
    <cfRule type="expression" dxfId="117" priority="7" stopIfTrue="1">
      <formula>S8=""</formula>
    </cfRule>
  </conditionalFormatting>
  <conditionalFormatting sqref="T8:T27">
    <cfRule type="expression" dxfId="116" priority="6" stopIfTrue="1">
      <formula>S8=""</formula>
    </cfRule>
  </conditionalFormatting>
  <conditionalFormatting sqref="P8:P27">
    <cfRule type="expression" dxfId="115" priority="4">
      <formula>AC8="Enter"</formula>
    </cfRule>
  </conditionalFormatting>
  <conditionalFormatting sqref="P8:P27">
    <cfRule type="expression" dxfId="114" priority="3">
      <formula>INDIRECT(AD8)</formula>
    </cfRule>
  </conditionalFormatting>
  <conditionalFormatting sqref="N6:U6">
    <cfRule type="notContainsBlanks" dxfId="113" priority="2">
      <formula>LEN(TRIM(N6))&gt;0</formula>
    </cfRule>
  </conditionalFormatting>
  <conditionalFormatting sqref="Q8:Q27">
    <cfRule type="expression" dxfId="112" priority="1">
      <formula>AB8="Enter"</formula>
    </cfRule>
  </conditionalFormatting>
  <dataValidations count="16">
    <dataValidation type="list" allowBlank="1" showInputMessage="1" showErrorMessage="1" errorTitle="Invalid Entry" error="Invalid Entry" sqref="P8:P27" xr:uid="{00000000-0002-0000-0500-000000000000}">
      <formula1>INDIRECT(AD8)</formula1>
    </dataValidation>
    <dataValidation type="list" allowBlank="1" showInputMessage="1" showErrorMessage="1" errorTitle="Invalid Entry" error="Invalid Entry" sqref="R8:R27" xr:uid="{00000000-0002-0000-0500-000001000000}">
      <formula1>INDIRECT(AZ8)</formula1>
    </dataValidation>
    <dataValidation type="list" allowBlank="1" showInputMessage="1" showErrorMessage="1" errorTitle="Invalid Entry" error="Invalid Entry" sqref="E8:E27" xr:uid="{00000000-0002-0000-0500-000002000000}">
      <formula1>INDIRECT(BA8)</formula1>
    </dataValidation>
    <dataValidation type="list" allowBlank="1" showInputMessage="1" showErrorMessage="1" errorTitle="Invalid Entry" error="Please select from List!" sqref="O8:O27 Q8:Q27" xr:uid="{00000000-0002-0000-0500-000003000000}">
      <formula1>"Yes, No"</formula1>
    </dataValidation>
    <dataValidation type="list" showDropDown="1" showInputMessage="1" errorTitle="Invalid Enrty" error="Please select from List!" sqref="U8:U27" xr:uid="{00000000-0002-0000-0500-000004000000}">
      <formula1>"Standard, Combo (Same Side), Combo (2 Side)"</formula1>
    </dataValidation>
    <dataValidation allowBlank="1" errorTitle="Invalid Entry" error="Invalid Entry" sqref="T8:T27" xr:uid="{00000000-0002-0000-0500-000005000000}"/>
    <dataValidation type="list" allowBlank="1" showInputMessage="1" showErrorMessage="1" errorTitle="Invalid Entry" error="Invalid Entry" sqref="S8:S27" xr:uid="{00000000-0002-0000-0500-000006000000}">
      <formula1>"No, Yes"</formula1>
    </dataValidation>
    <dataValidation type="list" allowBlank="1" showInputMessage="1" showErrorMessage="1" errorTitle="Invalid Entry" error="Invalid Entry" sqref="M8:N27" xr:uid="{00000000-0002-0000-0500-000007000000}">
      <formula1>"One Way-Right, One Way-Left, Centre Open, Centre Bunch"</formula1>
    </dataValidation>
    <dataValidation type="list" allowBlank="1" showInputMessage="1" showErrorMessage="1" errorTitle="Invalid Entry" error="Invalid Entry" sqref="L8:L27" xr:uid="{00000000-0002-0000-0500-000008000000}">
      <formula1>VerticalTrack</formula1>
    </dataValidation>
    <dataValidation type="list" errorStyle="warning" allowBlank="1" showInputMessage="1" showErrorMessage="1" errorTitle="Invalid Entry" error="This is not a standard colour._x000a_Please select from List!" sqref="J8:K27" xr:uid="{00000000-0002-0000-0500-000009000000}">
      <formula1>"NAM, ACT"</formula1>
    </dataValidation>
    <dataValidation type="list" allowBlank="1" showInputMessage="1" showErrorMessage="1" sqref="I8:I27" xr:uid="{00000000-0002-0000-0500-00000A000000}">
      <formula1>"Face Fit, Recess Fit"</formula1>
    </dataValidation>
    <dataValidation type="list" allowBlank="1" showInputMessage="1" showErrorMessage="1" errorTitle="Invalid Entry" error="Invalid Entry" sqref="D8:D27" xr:uid="{00000000-0002-0000-0500-00000B000000}">
      <formula1>FabricSlatWidth</formula1>
    </dataValidation>
    <dataValidation type="list" allowBlank="1" showInputMessage="1" showErrorMessage="1" errorTitle="Invalid Entry" error="Invalid Entry" sqref="H8:H27" xr:uid="{00000000-0002-0000-0500-00000C000000}">
      <formula1>WindowType</formula1>
    </dataValidation>
    <dataValidation type="whole" errorStyle="warning" allowBlank="1" showInputMessage="1" showErrorMessage="1" errorTitle="Be Aware" error="Minimum width is 500mm._x000a_Maximum width is 4800mm. " sqref="F8:F27" xr:uid="{00000000-0002-0000-0500-00000D000000}">
      <formula1>500</formula1>
      <formula2>4800</formula2>
    </dataValidation>
    <dataValidation type="whole" errorStyle="warning" allowBlank="1" showInputMessage="1" showErrorMessage="1" errorTitle="Be Aware" error="Minimum height/drop is 200mm._x000a_Maximum height/drop is 3600mm._x000a_" sqref="G8:G27" xr:uid="{00000000-0002-0000-0500-00000E000000}">
      <formula1>200</formula1>
      <formula2>3600</formula2>
    </dataValidation>
    <dataValidation allowBlank="1" sqref="W6:X27" xr:uid="{00000000-0002-0000-0500-00000F000000}"/>
  </dataValidations>
  <printOptions horizontalCentered="1"/>
  <pageMargins left="0.23622047244094491" right="0.23622047244094491" top="0.23622047244094491" bottom="0.23622047244094491" header="0.19685039370078741" footer="0.19685039370078741"/>
  <pageSetup paperSize="9" scale="50" fitToHeight="2"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F0"/>
    <pageSetUpPr fitToPage="1"/>
  </sheetPr>
  <dimension ref="A1:AZ58"/>
  <sheetViews>
    <sheetView view="pageBreakPreview" zoomScale="85" zoomScaleSheetLayoutView="85" workbookViewId="0">
      <selection activeCell="B8" sqref="B8"/>
    </sheetView>
  </sheetViews>
  <sheetFormatPr defaultRowHeight="15"/>
  <cols>
    <col min="1" max="1" width="7.42578125" style="55" customWidth="1"/>
    <col min="2" max="2" width="13" style="55" customWidth="1"/>
    <col min="3" max="3" width="6.28515625" style="55" customWidth="1"/>
    <col min="4" max="4" width="32.5703125" style="55" customWidth="1"/>
    <col min="5" max="5" width="31" style="55" customWidth="1"/>
    <col min="6" max="6" width="37.42578125" style="55" customWidth="1"/>
    <col min="7" max="7" width="31.7109375" style="55" customWidth="1"/>
    <col min="8" max="8" width="32.5703125" style="55" customWidth="1"/>
    <col min="9" max="9" width="13" style="55" customWidth="1"/>
    <col min="10" max="10" width="12.42578125" style="55" customWidth="1"/>
    <col min="11" max="11" width="16.28515625" style="55" customWidth="1"/>
    <col min="12" max="12" width="14.7109375" style="55" customWidth="1"/>
    <col min="13" max="13" width="10.42578125" style="55" customWidth="1"/>
    <col min="14" max="14" width="4.28515625" style="55" customWidth="1"/>
    <col min="15" max="15" width="28.85546875" style="55" customWidth="1"/>
    <col min="16" max="16" width="35.7109375" style="55" customWidth="1"/>
    <col min="17" max="17" width="17.5703125" style="55" customWidth="1"/>
    <col min="18" max="18" width="14.7109375" style="55" customWidth="1"/>
    <col min="19" max="19" width="57.140625" style="55" customWidth="1"/>
    <col min="20" max="20" width="15" style="55" customWidth="1"/>
    <col min="21" max="21" width="43.42578125" style="55" hidden="1" customWidth="1"/>
    <col min="22" max="25" width="9.140625" style="33" hidden="1" customWidth="1"/>
    <col min="26" max="26" width="40.42578125" style="33" hidden="1" customWidth="1"/>
    <col min="27" max="27" width="42.28515625" style="33" hidden="1" customWidth="1"/>
    <col min="28" max="29" width="24.28515625" style="92" hidden="1" customWidth="1"/>
    <col min="30" max="30" width="42.7109375" style="92" hidden="1" customWidth="1"/>
    <col min="31" max="31" width="43.28515625" style="33" hidden="1" customWidth="1"/>
    <col min="32" max="32" width="33.5703125" style="33" hidden="1" customWidth="1"/>
    <col min="33" max="34" width="25.5703125" style="33" hidden="1" customWidth="1"/>
    <col min="35" max="35" width="37" style="33" hidden="1" customWidth="1"/>
    <col min="36" max="36" width="9.140625" style="33" hidden="1" customWidth="1"/>
    <col min="37" max="38" width="22.85546875" style="33" hidden="1" customWidth="1"/>
    <col min="39" max="39" width="40.7109375" style="33" hidden="1" customWidth="1"/>
    <col min="40" max="40" width="45.7109375" style="92" hidden="1" customWidth="1"/>
    <col min="41" max="41" width="18.28515625" style="92" hidden="1" customWidth="1"/>
    <col min="42" max="43" width="24" style="33" hidden="1" customWidth="1"/>
    <col min="44" max="44" width="15.42578125" style="33" hidden="1" customWidth="1"/>
    <col min="45" max="52" width="9.140625" style="33" hidden="1" customWidth="1"/>
    <col min="53" max="16384" width="9.140625" style="33"/>
  </cols>
  <sheetData>
    <row r="1" spans="1:44" ht="26.25">
      <c r="A1" s="120"/>
      <c r="B1" s="34"/>
      <c r="C1" s="34"/>
      <c r="D1" s="34"/>
      <c r="E1" s="34"/>
      <c r="F1" s="255"/>
      <c r="G1" s="271"/>
      <c r="H1" s="248" t="s">
        <v>0</v>
      </c>
      <c r="I1" s="541">
        <f>Summary!D3</f>
        <v>0</v>
      </c>
      <c r="J1" s="542"/>
      <c r="K1" s="542"/>
      <c r="L1" s="542"/>
      <c r="M1" s="542"/>
      <c r="N1" s="542"/>
      <c r="O1" s="542"/>
      <c r="P1" s="542"/>
      <c r="Q1" s="542"/>
      <c r="R1" s="543"/>
      <c r="S1" s="60"/>
      <c r="T1" s="461"/>
      <c r="U1" s="416"/>
    </row>
    <row r="2" spans="1:44" ht="19.5">
      <c r="A2" s="28"/>
      <c r="B2" s="29"/>
      <c r="C2" s="29"/>
      <c r="D2" s="29"/>
      <c r="E2" s="544" t="s">
        <v>1171</v>
      </c>
      <c r="F2" s="545"/>
      <c r="G2" s="249"/>
      <c r="H2" s="248" t="s">
        <v>141</v>
      </c>
      <c r="I2" s="477">
        <f>Summary!D6</f>
        <v>0</v>
      </c>
      <c r="J2" s="478"/>
      <c r="K2" s="478"/>
      <c r="L2" s="478"/>
      <c r="M2" s="478"/>
      <c r="N2" s="478"/>
      <c r="O2" s="478"/>
      <c r="P2" s="478"/>
      <c r="Q2" s="478"/>
      <c r="R2" s="479"/>
      <c r="S2" s="62"/>
      <c r="T2" s="461"/>
      <c r="U2" s="416"/>
    </row>
    <row r="3" spans="1:44" ht="17.25" customHeight="1">
      <c r="A3" s="7"/>
      <c r="B3" s="8"/>
      <c r="C3" s="8"/>
      <c r="D3" s="8"/>
      <c r="E3" s="8"/>
      <c r="F3" s="262"/>
      <c r="G3" s="8"/>
      <c r="H3" s="248" t="s">
        <v>142</v>
      </c>
      <c r="I3" s="458">
        <f>Summary!D4</f>
        <v>0</v>
      </c>
      <c r="J3" s="546"/>
      <c r="K3" s="546"/>
      <c r="L3" s="546"/>
      <c r="M3" s="546"/>
      <c r="N3" s="546"/>
      <c r="O3" s="546"/>
      <c r="P3" s="546"/>
      <c r="Q3" s="546"/>
      <c r="R3" s="547"/>
      <c r="S3" s="62"/>
      <c r="T3" s="63"/>
      <c r="U3" s="64"/>
    </row>
    <row r="4" spans="1:44" ht="17.25" customHeight="1">
      <c r="A4" s="472" t="s">
        <v>458</v>
      </c>
      <c r="B4" s="472"/>
      <c r="C4" s="472"/>
      <c r="D4" s="260"/>
      <c r="E4" s="263" t="s">
        <v>457</v>
      </c>
      <c r="F4" s="261"/>
      <c r="G4" s="270"/>
      <c r="H4" s="248" t="s">
        <v>973</v>
      </c>
      <c r="I4" s="477">
        <f>Summary!D7</f>
        <v>0</v>
      </c>
      <c r="J4" s="478"/>
      <c r="K4" s="478"/>
      <c r="L4" s="478"/>
      <c r="M4" s="478"/>
      <c r="N4" s="478"/>
      <c r="O4" s="478"/>
      <c r="P4" s="478"/>
      <c r="Q4" s="478"/>
      <c r="R4" s="479"/>
      <c r="S4" s="62"/>
      <c r="T4" s="461"/>
      <c r="U4" s="462"/>
    </row>
    <row r="5" spans="1:44" ht="17.25" customHeight="1">
      <c r="A5" s="101" t="s">
        <v>421</v>
      </c>
      <c r="B5" s="102"/>
      <c r="C5" s="102"/>
      <c r="D5" s="256" t="s">
        <v>211</v>
      </c>
      <c r="E5" s="256"/>
      <c r="F5" s="257"/>
      <c r="G5" s="271"/>
      <c r="H5" s="248" t="s">
        <v>143</v>
      </c>
      <c r="I5" s="548">
        <f>Summary!D8</f>
        <v>0</v>
      </c>
      <c r="J5" s="549"/>
      <c r="K5" s="549"/>
      <c r="L5" s="549"/>
      <c r="M5" s="549"/>
      <c r="N5" s="549"/>
      <c r="O5" s="549"/>
      <c r="P5" s="549"/>
      <c r="Q5" s="549"/>
      <c r="R5" s="550"/>
      <c r="S5" s="65"/>
      <c r="T5" s="461"/>
      <c r="U5" s="462"/>
    </row>
    <row r="6" spans="1:44" ht="15.75" thickBot="1">
      <c r="A6" s="525" t="s">
        <v>723</v>
      </c>
      <c r="B6" s="525"/>
      <c r="C6" s="525"/>
      <c r="D6" s="525"/>
      <c r="E6" s="525"/>
      <c r="F6" s="526"/>
      <c r="H6" s="264" t="s">
        <v>654</v>
      </c>
      <c r="I6" s="511" t="str">
        <f>Z18</f>
        <v/>
      </c>
      <c r="J6" s="512"/>
      <c r="K6" s="512"/>
      <c r="L6" s="512"/>
      <c r="M6" s="512"/>
      <c r="N6" s="512"/>
      <c r="O6" s="512"/>
      <c r="P6" s="512"/>
      <c r="Q6" s="512"/>
      <c r="R6" s="513"/>
      <c r="U6" s="66"/>
      <c r="AK6" s="540" t="s">
        <v>1252</v>
      </c>
      <c r="AL6" s="540"/>
      <c r="AM6" s="540"/>
    </row>
    <row r="7" spans="1:44" ht="45" customHeight="1" thickTop="1" thickBot="1">
      <c r="A7" s="67" t="s">
        <v>144</v>
      </c>
      <c r="B7" s="68" t="s">
        <v>145</v>
      </c>
      <c r="C7" s="68" t="s">
        <v>162</v>
      </c>
      <c r="D7" s="68" t="s">
        <v>1178</v>
      </c>
      <c r="E7" s="68" t="s">
        <v>180</v>
      </c>
      <c r="F7" s="68" t="s">
        <v>1207</v>
      </c>
      <c r="G7" s="68" t="s">
        <v>1209</v>
      </c>
      <c r="H7" s="68" t="s">
        <v>1210</v>
      </c>
      <c r="I7" s="68" t="s">
        <v>146</v>
      </c>
      <c r="J7" s="69" t="s">
        <v>147</v>
      </c>
      <c r="K7" s="70" t="s">
        <v>14</v>
      </c>
      <c r="L7" s="70" t="s">
        <v>163</v>
      </c>
      <c r="M7" s="492" t="s">
        <v>13</v>
      </c>
      <c r="N7" s="493"/>
      <c r="O7" s="68" t="s">
        <v>1468</v>
      </c>
      <c r="P7" s="68" t="s">
        <v>1298</v>
      </c>
      <c r="Q7" s="68" t="s">
        <v>1208</v>
      </c>
      <c r="R7" s="246" t="s">
        <v>160</v>
      </c>
      <c r="S7" s="71" t="s">
        <v>203</v>
      </c>
      <c r="T7" s="235"/>
      <c r="U7" s="235"/>
      <c r="AB7" s="247" t="s">
        <v>1248</v>
      </c>
      <c r="AC7" s="247" t="s">
        <v>1249</v>
      </c>
      <c r="AD7" s="247" t="s">
        <v>1250</v>
      </c>
      <c r="AF7" s="33" t="s">
        <v>1191</v>
      </c>
      <c r="AG7" s="247" t="s">
        <v>1390</v>
      </c>
      <c r="AH7" s="247" t="s">
        <v>1248</v>
      </c>
      <c r="AI7" s="247" t="s">
        <v>1391</v>
      </c>
      <c r="AK7" s="247" t="s">
        <v>1248</v>
      </c>
      <c r="AL7" s="247" t="s">
        <v>1249</v>
      </c>
      <c r="AM7" s="247" t="s">
        <v>1250</v>
      </c>
      <c r="AN7" s="247" t="s">
        <v>1406</v>
      </c>
      <c r="AO7" s="247" t="s">
        <v>1448</v>
      </c>
      <c r="AP7" s="247" t="s">
        <v>1408</v>
      </c>
      <c r="AQ7" s="247" t="s">
        <v>1409</v>
      </c>
      <c r="AR7" s="247" t="s">
        <v>1410</v>
      </c>
    </row>
    <row r="8" spans="1:44" ht="30" customHeight="1" thickTop="1">
      <c r="A8" s="51">
        <v>1</v>
      </c>
      <c r="B8" s="100"/>
      <c r="C8" s="23"/>
      <c r="D8" s="25"/>
      <c r="E8" s="242"/>
      <c r="F8" s="253"/>
      <c r="G8" s="253"/>
      <c r="H8" s="253"/>
      <c r="I8" s="41"/>
      <c r="J8" s="42"/>
      <c r="K8" s="24"/>
      <c r="L8" s="24"/>
      <c r="M8" s="480"/>
      <c r="N8" s="481"/>
      <c r="O8" s="11"/>
      <c r="P8" s="11"/>
      <c r="Q8" s="25" t="str">
        <f>AR8</f>
        <v/>
      </c>
      <c r="R8" s="266" t="str">
        <f>IF(SUM(I8)=0,"",SUM(((I8*J8)/1000000)))</f>
        <v/>
      </c>
      <c r="S8" s="188"/>
      <c r="T8" s="236"/>
      <c r="U8" s="237"/>
      <c r="Y8" s="33" t="str">
        <f t="shared" ref="Y8:Y39" si="0">IF(AND(C8&gt;0,P8=""),"Enter","OK")</f>
        <v>OK</v>
      </c>
      <c r="Z8" s="33" t="str">
        <f>IF(COUNTIF($K$8:$K$57,Data!KF3),Data!KG3,"")</f>
        <v/>
      </c>
      <c r="AA8" s="33" t="str">
        <f>IF(SUM(--ISNUMBER(SEARCH({"Bay","Corner"}, K8:K17))),"Yes","No")</f>
        <v>No</v>
      </c>
      <c r="AB8" s="247" t="e">
        <f>MATCH(E8, Data!$TA$2:$TA$4,0)</f>
        <v>#N/A</v>
      </c>
      <c r="AC8" s="247" t="e">
        <f>MATCH(F8,Data!$TB$1:$TK$1,0)</f>
        <v>#N/A</v>
      </c>
      <c r="AD8" s="247" t="e">
        <f>INDEX(Data!$TB$2:$TK$4,'Cellular Blinds'!AB8,'Cellular Blinds'!AC8)</f>
        <v>#N/A</v>
      </c>
      <c r="AF8" s="33" t="b">
        <f>IF(D8=Data!$UC$2,Data!$UD$1,IF(D8=Data!$UC$3,Data!$UE$1,IF(D8=Data!$UC$4,Data!$UF$1,IF(D8=Data!$UC$5,Data!$UG$1,IF(D8=Data!$UC$6,Data!$UH$1,IF(D8=Data!$UC$7,Data!$UI$1,IF(D8=Data!$UC$8,Data!$UJ$1,IF(D8=Data!$UC$9,Data!$UK$1,IF(D8=Data!$UC$10,Data!$UL$1,IF(D8=Data!$UC$11,Data!$UM$1,IF(D8=Data!$UC$12,Data!$UN$1,IF(D8=Data!$UC$13,Data!$UO$1))))))))))))</f>
        <v>0</v>
      </c>
      <c r="AG8" s="247" t="e">
        <f>MATCH(D8, Data!$UU$2:$UU$13,0)</f>
        <v>#N/A</v>
      </c>
      <c r="AH8" s="247" t="e">
        <f>MATCH(E8,Data!$UV$1:$UX$1,0)</f>
        <v>#N/A</v>
      </c>
      <c r="AI8" s="247" t="e">
        <f>INDEX(Data!$UV$2:$UX$13,'Cellular Blinds'!AG8,'Cellular Blinds'!AH8)</f>
        <v>#N/A</v>
      </c>
      <c r="AK8" s="247" t="e">
        <f>MATCH(E8, Data!$WY$2:$WY$4,0)</f>
        <v>#N/A</v>
      </c>
      <c r="AL8" s="247" t="e">
        <f>MATCH(F8,Data!$WZ$1:$XI$1,0)</f>
        <v>#N/A</v>
      </c>
      <c r="AM8" s="247" t="e">
        <f>INDEX(Data!$WZ$2:$XI$4,'Cellular Blinds'!AK8,'Cellular Blinds'!AL8)</f>
        <v>#N/A</v>
      </c>
      <c r="AN8" s="247" t="b">
        <f>IF(D8=Data!$XL$2,Data!$XM$1,IF(D8=Data!$XL$3,Data!$XN$1,IF(D8=Data!$XL$4,Data!$XO$1,IF(D8=Data!$XL$5,Data!$XP$1,IF(D8=Data!$XL$6,Data!$XQ$1,IF(D8=Data!$XL$7,Data!$XR$1,IF(D8=Data!$XL$8,Data!$XS$1,IF(D8=Data!$XL$9,Data!$XT$1,IF(D8=Data!$XL$10,Data!$XU$1,IF(D8=Data!$XL$11,Data!$XV$1,IF(D8=Data!$XL$12,Data!$XW$1,IF(D8=Data!$XL$13,Data!$XX$1))))))))))))</f>
        <v>0</v>
      </c>
      <c r="AO8" s="247" t="str">
        <f>IF(D8="","",IF(E8=Data!$XZ$2,VLOOKUP(D8,Data!$YB$2:$YC$13,2,FALSE),IF(E8=Data!$XZ$1,VLOOKUP(D8,Data!$YE$2:$YF$13,2,FALSE),IF(E8=Data!$XZ$3,VLOOKUP(D8,Data!$YG$2:$YH$13,2,FALSE)))))</f>
        <v/>
      </c>
      <c r="AP8" s="265" t="str">
        <f>R8</f>
        <v/>
      </c>
      <c r="AQ8" s="265" t="str">
        <f>IF(AP8="","",AP8-AO8)</f>
        <v/>
      </c>
      <c r="AR8" s="247" t="str">
        <f>IF(AQ8="","",IF(AQ8&gt;0,"Check Size",""))</f>
        <v/>
      </c>
    </row>
    <row r="9" spans="1:44" ht="30" customHeight="1">
      <c r="A9" s="52">
        <v>2</v>
      </c>
      <c r="B9" s="19"/>
      <c r="C9" s="27"/>
      <c r="D9" s="13"/>
      <c r="E9" s="243"/>
      <c r="F9" s="243"/>
      <c r="G9" s="243"/>
      <c r="H9" s="243"/>
      <c r="I9" s="14"/>
      <c r="J9" s="14"/>
      <c r="K9" s="14"/>
      <c r="L9" s="14"/>
      <c r="M9" s="484"/>
      <c r="N9" s="485"/>
      <c r="O9" s="15"/>
      <c r="P9" s="15"/>
      <c r="Q9" s="13" t="str">
        <f t="shared" ref="Q9:Q57" si="1">AR9</f>
        <v/>
      </c>
      <c r="R9" s="267" t="str">
        <f t="shared" ref="R9:R57" si="2">IF(SUM(I9)=0,"",SUM(((I9*J9)/1000000)))</f>
        <v/>
      </c>
      <c r="S9" s="186"/>
      <c r="T9" s="236"/>
      <c r="U9" s="237"/>
      <c r="Y9" s="33" t="str">
        <f t="shared" si="0"/>
        <v>OK</v>
      </c>
      <c r="Z9" s="33" t="str">
        <f>IF(COUNTIF($K$8:$K$57,Data!KF4),Data!KG4,"")</f>
        <v/>
      </c>
      <c r="AB9" s="247" t="e">
        <f>MATCH(E9, Data!$TA$2:$TA$4,0)</f>
        <v>#N/A</v>
      </c>
      <c r="AC9" s="247" t="e">
        <f>MATCH(F9,Data!$TB$1:$TK$1,0)</f>
        <v>#N/A</v>
      </c>
      <c r="AD9" s="247" t="e">
        <f>INDEX(Data!$TB$2:$TK$4,'Cellular Blinds'!AB9,'Cellular Blinds'!AC9)</f>
        <v>#N/A</v>
      </c>
      <c r="AF9" s="33" t="b">
        <f>IF(D9=Data!$UC$2,Data!$UD$1,IF(D9=Data!$UC$3,Data!$UE$1,IF(D9=Data!$UC$4,Data!$UF$1,IF(D9=Data!$UC$5,Data!$UG$1,IF(D9=Data!$UC$6,Data!$UH$1,IF(D9=Data!$UC$7,Data!$UI$1,IF(D9=Data!$UC$8,Data!$UJ$1,IF(D9=Data!$UC$9,Data!$UK$1,IF(D9=Data!$UC$10,Data!$UL$1,IF(D9=Data!$UC$11,Data!$UM$1,IF(D9=Data!$UC$12,Data!$UN$1,IF(D9=Data!$UC$13,Data!$UO$1))))))))))))</f>
        <v>0</v>
      </c>
      <c r="AG9" s="247" t="e">
        <f>MATCH(D9, Data!$UU$2:$UU$13,0)</f>
        <v>#N/A</v>
      </c>
      <c r="AH9" s="247" t="e">
        <f>MATCH(E9,Data!$UV$1:$UX$1,0)</f>
        <v>#N/A</v>
      </c>
      <c r="AI9" s="247" t="e">
        <f>INDEX(Data!$UV$2:$UX$13,'Cellular Blinds'!AG9,'Cellular Blinds'!AH9)</f>
        <v>#N/A</v>
      </c>
      <c r="AK9" s="247" t="e">
        <f>MATCH(E9, Data!$WY$2:$WY$4,0)</f>
        <v>#N/A</v>
      </c>
      <c r="AL9" s="247" t="e">
        <f>MATCH(F9,Data!$WZ$1:$XI$1,0)</f>
        <v>#N/A</v>
      </c>
      <c r="AM9" s="247" t="e">
        <f>INDEX(Data!$WZ$2:$XI$4,'Cellular Blinds'!AK9,'Cellular Blinds'!AL9)</f>
        <v>#N/A</v>
      </c>
      <c r="AN9" s="247" t="b">
        <f>IF(D9=Data!$XL$2,Data!$XM$1,IF(D9=Data!$XL$3,Data!$XN$1,IF(D9=Data!$XL$4,Data!$XO$1,IF(D9=Data!$XL$5,Data!$XP$1,IF(D9=Data!$XL$6,Data!$XQ$1,IF(D9=Data!$XL$7,Data!$XR$1,IF(D9=Data!$XL$8,Data!$XS$1,IF(D9=Data!$XL$9,Data!$XT$1,IF(D9=Data!$XL$10,Data!$XU$1,IF(D9=Data!$XL$11,Data!$XV$1,IF(D9=Data!$XL$12,Data!$XW$1,IF(D9=Data!$XL$13,Data!$XX$1))))))))))))</f>
        <v>0</v>
      </c>
      <c r="AO9" s="247" t="str">
        <f>IF(D9="","",IF(E9=Data!$XZ$2,VLOOKUP(D9,Data!$YB$2:$YC$13,2,FALSE),IF(E9=Data!$XZ$1,VLOOKUP(D9,Data!$YE$2:$YF$13,2,FALSE),IF(E9=Data!$XZ$3,VLOOKUP(D9,Data!$YG$2:$YH$13,2,FALSE)))))</f>
        <v/>
      </c>
      <c r="AP9" s="265" t="str">
        <f t="shared" ref="AP9:AP57" si="3">R9</f>
        <v/>
      </c>
      <c r="AQ9" s="265" t="str">
        <f t="shared" ref="AQ9:AQ57" si="4">IF(AP9="","",AP9-AO9)</f>
        <v/>
      </c>
      <c r="AR9" s="247" t="str">
        <f t="shared" ref="AR9:AR57" si="5">IF(AQ9="","",IF(AQ9&gt;0,"Check Size",""))</f>
        <v/>
      </c>
    </row>
    <row r="10" spans="1:44" ht="30" customHeight="1">
      <c r="A10" s="53">
        <v>3</v>
      </c>
      <c r="B10" s="17"/>
      <c r="C10" s="17"/>
      <c r="D10" s="13"/>
      <c r="E10" s="243"/>
      <c r="F10" s="243"/>
      <c r="G10" s="243"/>
      <c r="H10" s="243"/>
      <c r="I10" s="14"/>
      <c r="J10" s="14"/>
      <c r="K10" s="14"/>
      <c r="L10" s="14"/>
      <c r="M10" s="484"/>
      <c r="N10" s="485"/>
      <c r="O10" s="15"/>
      <c r="P10" s="15"/>
      <c r="Q10" s="13" t="str">
        <f t="shared" si="1"/>
        <v/>
      </c>
      <c r="R10" s="267" t="str">
        <f t="shared" si="2"/>
        <v/>
      </c>
      <c r="S10" s="186"/>
      <c r="T10" s="236"/>
      <c r="U10" s="237"/>
      <c r="Y10" s="33" t="str">
        <f t="shared" si="0"/>
        <v>OK</v>
      </c>
      <c r="Z10" s="33" t="str">
        <f>IF(COUNTIF($K$8:$K$57,Data!KF5),Data!KG5,"")</f>
        <v/>
      </c>
      <c r="AB10" s="247" t="e">
        <f>MATCH(E10, Data!$TA$2:$TA$4,0)</f>
        <v>#N/A</v>
      </c>
      <c r="AC10" s="247" t="e">
        <f>MATCH(F10,Data!$TB$1:$TK$1,0)</f>
        <v>#N/A</v>
      </c>
      <c r="AD10" s="247" t="e">
        <f>INDEX(Data!$TB$2:$TK$4,'Cellular Blinds'!AB10,'Cellular Blinds'!AC10)</f>
        <v>#N/A</v>
      </c>
      <c r="AF10" s="33" t="b">
        <f>IF(D10=Data!$UC$2,Data!$UD$1,IF(D10=Data!$UC$3,Data!$UE$1,IF(D10=Data!$UC$4,Data!$UF$1,IF(D10=Data!$UC$5,Data!$UG$1,IF(D10=Data!$UC$6,Data!$UH$1,IF(D10=Data!$UC$7,Data!$UI$1,IF(D10=Data!$UC$8,Data!$UJ$1,IF(D10=Data!$UC$9,Data!$UK$1,IF(D10=Data!$UC$10,Data!$UL$1,IF(D10=Data!$UC$11,Data!$UM$1,IF(D10=Data!$UC$12,Data!$UN$1,IF(D10=Data!$UC$13,Data!$UO$1))))))))))))</f>
        <v>0</v>
      </c>
      <c r="AG10" s="247" t="e">
        <f>MATCH(D10, Data!$UU$2:$UU$13,0)</f>
        <v>#N/A</v>
      </c>
      <c r="AH10" s="247" t="e">
        <f>MATCH(E10,Data!$UV$1:$UX$1,0)</f>
        <v>#N/A</v>
      </c>
      <c r="AI10" s="247" t="e">
        <f>INDEX(Data!$UV$2:$UX$13,'Cellular Blinds'!AG10,'Cellular Blinds'!AH10)</f>
        <v>#N/A</v>
      </c>
      <c r="AK10" s="247" t="e">
        <f>MATCH(E10, Data!$WY$2:$WY$4,0)</f>
        <v>#N/A</v>
      </c>
      <c r="AL10" s="247" t="e">
        <f>MATCH(F10,Data!$WZ$1:$XI$1,0)</f>
        <v>#N/A</v>
      </c>
      <c r="AM10" s="247" t="e">
        <f>INDEX(Data!$WZ$2:$XI$4,'Cellular Blinds'!AK10,'Cellular Blinds'!AL10)</f>
        <v>#N/A</v>
      </c>
      <c r="AN10" s="247" t="b">
        <f>IF(D10=Data!$XL$2,Data!$XM$1,IF(D10=Data!$XL$3,Data!$XN$1,IF(D10=Data!$XL$4,Data!$XO$1,IF(D10=Data!$XL$5,Data!$XP$1,IF(D10=Data!$XL$6,Data!$XQ$1,IF(D10=Data!$XL$7,Data!$XR$1,IF(D10=Data!$XL$8,Data!$XS$1,IF(D10=Data!$XL$9,Data!$XT$1,IF(D10=Data!$XL$10,Data!$XU$1,IF(D10=Data!$XL$11,Data!$XV$1,IF(D10=Data!$XL$12,Data!$XW$1,IF(D10=Data!$XL$13,Data!$XX$1))))))))))))</f>
        <v>0</v>
      </c>
      <c r="AO10" s="247" t="str">
        <f>IF(D10="","",IF(E10=Data!$XZ$2,VLOOKUP(D10,Data!$YB$2:$YC$13,2,FALSE),IF(E10=Data!$XZ$1,VLOOKUP(D10,Data!$YE$2:$YF$13,2,FALSE),IF(E10=Data!$XZ$3,VLOOKUP(D10,Data!$YG$2:$YH$13,2,FALSE)))))</f>
        <v/>
      </c>
      <c r="AP10" s="265" t="str">
        <f t="shared" si="3"/>
        <v/>
      </c>
      <c r="AQ10" s="265" t="str">
        <f t="shared" si="4"/>
        <v/>
      </c>
      <c r="AR10" s="247" t="str">
        <f t="shared" si="5"/>
        <v/>
      </c>
    </row>
    <row r="11" spans="1:44" ht="30" customHeight="1">
      <c r="A11" s="53">
        <v>4</v>
      </c>
      <c r="B11" s="17"/>
      <c r="C11" s="17"/>
      <c r="D11" s="13"/>
      <c r="E11" s="243"/>
      <c r="F11" s="243"/>
      <c r="G11" s="243"/>
      <c r="H11" s="243"/>
      <c r="I11" s="14"/>
      <c r="J11" s="14"/>
      <c r="K11" s="14"/>
      <c r="L11" s="14"/>
      <c r="M11" s="484"/>
      <c r="N11" s="485"/>
      <c r="O11" s="15"/>
      <c r="P11" s="15"/>
      <c r="Q11" s="13" t="str">
        <f t="shared" si="1"/>
        <v/>
      </c>
      <c r="R11" s="267" t="str">
        <f t="shared" si="2"/>
        <v/>
      </c>
      <c r="S11" s="186"/>
      <c r="T11" s="236"/>
      <c r="U11" s="237"/>
      <c r="Y11" s="33" t="str">
        <f t="shared" si="0"/>
        <v>OK</v>
      </c>
      <c r="Z11" s="33" t="str">
        <f>IF(COUNTIF($K$8:$K$57,Data!KF6),Data!KG6,"")</f>
        <v/>
      </c>
      <c r="AB11" s="247" t="e">
        <f>MATCH(E11, Data!$TA$2:$TA$4,0)</f>
        <v>#N/A</v>
      </c>
      <c r="AC11" s="247" t="e">
        <f>MATCH(F11,Data!$TB$1:$TK$1,0)</f>
        <v>#N/A</v>
      </c>
      <c r="AD11" s="247" t="e">
        <f>INDEX(Data!$TB$2:$TK$4,'Cellular Blinds'!AB11,'Cellular Blinds'!AC11)</f>
        <v>#N/A</v>
      </c>
      <c r="AF11" s="33" t="b">
        <f>IF(D11=Data!$UC$2,Data!$UD$1,IF(D11=Data!$UC$3,Data!$UE$1,IF(D11=Data!$UC$4,Data!$UF$1,IF(D11=Data!$UC$5,Data!$UG$1,IF(D11=Data!$UC$6,Data!$UH$1,IF(D11=Data!$UC$7,Data!$UI$1,IF(D11=Data!$UC$8,Data!$UJ$1,IF(D11=Data!$UC$9,Data!$UK$1,IF(D11=Data!$UC$10,Data!$UL$1,IF(D11=Data!$UC$11,Data!$UM$1,IF(D11=Data!$UC$12,Data!$UN$1,IF(D11=Data!$UC$13,Data!$UO$1))))))))))))</f>
        <v>0</v>
      </c>
      <c r="AG11" s="247" t="e">
        <f>MATCH(D11, Data!$UU$2:$UU$13,0)</f>
        <v>#N/A</v>
      </c>
      <c r="AH11" s="247" t="e">
        <f>MATCH(E11,Data!$UV$1:$UX$1,0)</f>
        <v>#N/A</v>
      </c>
      <c r="AI11" s="247" t="e">
        <f>INDEX(Data!$UV$2:$UX$13,'Cellular Blinds'!AG11,'Cellular Blinds'!AH11)</f>
        <v>#N/A</v>
      </c>
      <c r="AK11" s="247" t="e">
        <f>MATCH(E11, Data!$WY$2:$WY$4,0)</f>
        <v>#N/A</v>
      </c>
      <c r="AL11" s="247" t="e">
        <f>MATCH(F11,Data!$WZ$1:$XI$1,0)</f>
        <v>#N/A</v>
      </c>
      <c r="AM11" s="247" t="e">
        <f>INDEX(Data!$WZ$2:$XI$4,'Cellular Blinds'!AK11,'Cellular Blinds'!AL11)</f>
        <v>#N/A</v>
      </c>
      <c r="AN11" s="247" t="b">
        <f>IF(D11=Data!$XL$2,Data!$XM$1,IF(D11=Data!$XL$3,Data!$XN$1,IF(D11=Data!$XL$4,Data!$XO$1,IF(D11=Data!$XL$5,Data!$XP$1,IF(D11=Data!$XL$6,Data!$XQ$1,IF(D11=Data!$XL$7,Data!$XR$1,IF(D11=Data!$XL$8,Data!$XS$1,IF(D11=Data!$XL$9,Data!$XT$1,IF(D11=Data!$XL$10,Data!$XU$1,IF(D11=Data!$XL$11,Data!$XV$1,IF(D11=Data!$XL$12,Data!$XW$1,IF(D11=Data!$XL$13,Data!$XX$1))))))))))))</f>
        <v>0</v>
      </c>
      <c r="AO11" s="247" t="str">
        <f>IF(D11="","",IF(E11=Data!$XZ$2,VLOOKUP(D11,Data!$YB$2:$YC$13,2,FALSE),IF(E11=Data!$XZ$1,VLOOKUP(D11,Data!$YE$2:$YF$13,2,FALSE),IF(E11=Data!$XZ$3,VLOOKUP(D11,Data!$YG$2:$YH$13,2,FALSE)))))</f>
        <v/>
      </c>
      <c r="AP11" s="265" t="str">
        <f t="shared" si="3"/>
        <v/>
      </c>
      <c r="AQ11" s="265" t="str">
        <f t="shared" si="4"/>
        <v/>
      </c>
      <c r="AR11" s="247" t="str">
        <f t="shared" si="5"/>
        <v/>
      </c>
    </row>
    <row r="12" spans="1:44" ht="30" customHeight="1">
      <c r="A12" s="53">
        <v>5</v>
      </c>
      <c r="B12" s="17"/>
      <c r="C12" s="17"/>
      <c r="D12" s="13"/>
      <c r="E12" s="243"/>
      <c r="F12" s="243"/>
      <c r="G12" s="243"/>
      <c r="H12" s="243"/>
      <c r="I12" s="14"/>
      <c r="J12" s="14"/>
      <c r="K12" s="14"/>
      <c r="L12" s="14"/>
      <c r="M12" s="484"/>
      <c r="N12" s="485"/>
      <c r="O12" s="15"/>
      <c r="P12" s="15"/>
      <c r="Q12" s="13" t="str">
        <f t="shared" si="1"/>
        <v/>
      </c>
      <c r="R12" s="267" t="str">
        <f t="shared" si="2"/>
        <v/>
      </c>
      <c r="S12" s="186"/>
      <c r="T12" s="236"/>
      <c r="U12" s="237"/>
      <c r="Y12" s="33" t="str">
        <f t="shared" si="0"/>
        <v>OK</v>
      </c>
      <c r="Z12" s="33" t="str">
        <f>IF(COUNTIF($K$8:$K$57,Data!KF7),Data!KG7,"")</f>
        <v/>
      </c>
      <c r="AB12" s="247" t="e">
        <f>MATCH(E12, Data!$TA$2:$TA$4,0)</f>
        <v>#N/A</v>
      </c>
      <c r="AC12" s="247" t="e">
        <f>MATCH(F12,Data!$TB$1:$TK$1,0)</f>
        <v>#N/A</v>
      </c>
      <c r="AD12" s="247" t="e">
        <f>INDEX(Data!$TB$2:$TK$4,'Cellular Blinds'!AB12,'Cellular Blinds'!AC12)</f>
        <v>#N/A</v>
      </c>
      <c r="AF12" s="33" t="b">
        <f>IF(D12=Data!$UC$2,Data!$UD$1,IF(D12=Data!$UC$3,Data!$UE$1,IF(D12=Data!$UC$4,Data!$UF$1,IF(D12=Data!$UC$5,Data!$UG$1,IF(D12=Data!$UC$6,Data!$UH$1,IF(D12=Data!$UC$7,Data!$UI$1,IF(D12=Data!$UC$8,Data!$UJ$1,IF(D12=Data!$UC$9,Data!$UK$1,IF(D12=Data!$UC$10,Data!$UL$1,IF(D12=Data!$UC$11,Data!$UM$1,IF(D12=Data!$UC$12,Data!$UN$1,IF(D12=Data!$UC$13,Data!$UO$1))))))))))))</f>
        <v>0</v>
      </c>
      <c r="AG12" s="247" t="e">
        <f>MATCH(D12, Data!$UU$2:$UU$13,0)</f>
        <v>#N/A</v>
      </c>
      <c r="AH12" s="247" t="e">
        <f>MATCH(E12,Data!$UV$1:$UX$1,0)</f>
        <v>#N/A</v>
      </c>
      <c r="AI12" s="247" t="e">
        <f>INDEX(Data!$UV$2:$UX$13,'Cellular Blinds'!AG12,'Cellular Blinds'!AH12)</f>
        <v>#N/A</v>
      </c>
      <c r="AK12" s="247" t="e">
        <f>MATCH(E12, Data!$WY$2:$WY$4,0)</f>
        <v>#N/A</v>
      </c>
      <c r="AL12" s="247" t="e">
        <f>MATCH(F12,Data!$WZ$1:$XI$1,0)</f>
        <v>#N/A</v>
      </c>
      <c r="AM12" s="247" t="e">
        <f>INDEX(Data!$WZ$2:$XI$4,'Cellular Blinds'!AK12,'Cellular Blinds'!AL12)</f>
        <v>#N/A</v>
      </c>
      <c r="AN12" s="247" t="b">
        <f>IF(D12=Data!$XL$2,Data!$XM$1,IF(D12=Data!$XL$3,Data!$XN$1,IF(D12=Data!$XL$4,Data!$XO$1,IF(D12=Data!$XL$5,Data!$XP$1,IF(D12=Data!$XL$6,Data!$XQ$1,IF(D12=Data!$XL$7,Data!$XR$1,IF(D12=Data!$XL$8,Data!$XS$1,IF(D12=Data!$XL$9,Data!$XT$1,IF(D12=Data!$XL$10,Data!$XU$1,IF(D12=Data!$XL$11,Data!$XV$1,IF(D12=Data!$XL$12,Data!$XW$1,IF(D12=Data!$XL$13,Data!$XX$1))))))))))))</f>
        <v>0</v>
      </c>
      <c r="AO12" s="247" t="str">
        <f>IF(D12="","",IF(E12=Data!$XZ$2,VLOOKUP(D12,Data!$YB$2:$YC$13,2,FALSE),IF(E12=Data!$XZ$1,VLOOKUP(D12,Data!$YE$2:$YF$13,2,FALSE),IF(E12=Data!$XZ$3,VLOOKUP(D12,Data!$YG$2:$YH$13,2,FALSE)))))</f>
        <v/>
      </c>
      <c r="AP12" s="265" t="str">
        <f t="shared" si="3"/>
        <v/>
      </c>
      <c r="AQ12" s="265" t="str">
        <f t="shared" si="4"/>
        <v/>
      </c>
      <c r="AR12" s="247" t="str">
        <f t="shared" si="5"/>
        <v/>
      </c>
    </row>
    <row r="13" spans="1:44" ht="30" customHeight="1">
      <c r="A13" s="53">
        <v>6</v>
      </c>
      <c r="B13" s="17"/>
      <c r="C13" s="17"/>
      <c r="D13" s="13"/>
      <c r="E13" s="243"/>
      <c r="F13" s="243"/>
      <c r="G13" s="243"/>
      <c r="H13" s="243"/>
      <c r="I13" s="14"/>
      <c r="J13" s="14"/>
      <c r="K13" s="14"/>
      <c r="L13" s="14"/>
      <c r="M13" s="484"/>
      <c r="N13" s="485"/>
      <c r="O13" s="15"/>
      <c r="P13" s="15"/>
      <c r="Q13" s="13" t="str">
        <f t="shared" si="1"/>
        <v/>
      </c>
      <c r="R13" s="267" t="str">
        <f t="shared" si="2"/>
        <v/>
      </c>
      <c r="S13" s="186"/>
      <c r="T13" s="236"/>
      <c r="U13" s="237"/>
      <c r="Y13" s="33" t="str">
        <f t="shared" si="0"/>
        <v>OK</v>
      </c>
      <c r="Z13" s="33" t="str">
        <f>IF(COUNTIF($K$8:$K$57,Data!KF8),Data!KG8,"")</f>
        <v/>
      </c>
      <c r="AB13" s="247" t="e">
        <f>MATCH(E13, Data!$TA$2:$TA$4,0)</f>
        <v>#N/A</v>
      </c>
      <c r="AC13" s="247" t="e">
        <f>MATCH(F13,Data!$TB$1:$TK$1,0)</f>
        <v>#N/A</v>
      </c>
      <c r="AD13" s="247" t="e">
        <f>INDEX(Data!$TB$2:$TK$4,'Cellular Blinds'!AB13,'Cellular Blinds'!AC13)</f>
        <v>#N/A</v>
      </c>
      <c r="AF13" s="33" t="b">
        <f>IF(D13=Data!$UC$2,Data!$UD$1,IF(D13=Data!$UC$3,Data!$UE$1,IF(D13=Data!$UC$4,Data!$UF$1,IF(D13=Data!$UC$5,Data!$UG$1,IF(D13=Data!$UC$6,Data!$UH$1,IF(D13=Data!$UC$7,Data!$UI$1,IF(D13=Data!$UC$8,Data!$UJ$1,IF(D13=Data!$UC$9,Data!$UK$1,IF(D13=Data!$UC$10,Data!$UL$1,IF(D13=Data!$UC$11,Data!$UM$1,IF(D13=Data!$UC$12,Data!$UN$1,IF(D13=Data!$UC$13,Data!$UO$1))))))))))))</f>
        <v>0</v>
      </c>
      <c r="AG13" s="247" t="e">
        <f>MATCH(D13, Data!$UU$2:$UU$13,0)</f>
        <v>#N/A</v>
      </c>
      <c r="AH13" s="247" t="e">
        <f>MATCH(E13,Data!$UV$1:$UX$1,0)</f>
        <v>#N/A</v>
      </c>
      <c r="AI13" s="247" t="e">
        <f>INDEX(Data!$UV$2:$UX$13,'Cellular Blinds'!AG13,'Cellular Blinds'!AH13)</f>
        <v>#N/A</v>
      </c>
      <c r="AK13" s="247" t="e">
        <f>MATCH(E13, Data!$WY$2:$WY$4,0)</f>
        <v>#N/A</v>
      </c>
      <c r="AL13" s="247" t="e">
        <f>MATCH(F13,Data!$WZ$1:$XI$1,0)</f>
        <v>#N/A</v>
      </c>
      <c r="AM13" s="247" t="e">
        <f>INDEX(Data!$WZ$2:$XI$4,'Cellular Blinds'!AK13,'Cellular Blinds'!AL13)</f>
        <v>#N/A</v>
      </c>
      <c r="AN13" s="247" t="b">
        <f>IF(D13=Data!$XL$2,Data!$XM$1,IF(D13=Data!$XL$3,Data!$XN$1,IF(D13=Data!$XL$4,Data!$XO$1,IF(D13=Data!$XL$5,Data!$XP$1,IF(D13=Data!$XL$6,Data!$XQ$1,IF(D13=Data!$XL$7,Data!$XR$1,IF(D13=Data!$XL$8,Data!$XS$1,IF(D13=Data!$XL$9,Data!$XT$1,IF(D13=Data!$XL$10,Data!$XU$1,IF(D13=Data!$XL$11,Data!$XV$1,IF(D13=Data!$XL$12,Data!$XW$1,IF(D13=Data!$XL$13,Data!$XX$1))))))))))))</f>
        <v>0</v>
      </c>
      <c r="AO13" s="247" t="str">
        <f>IF(D13="","",IF(E13=Data!$XZ$2,VLOOKUP(D13,Data!$YB$2:$YC$13,2,FALSE),IF(E13=Data!$XZ$1,VLOOKUP(D13,Data!$YE$2:$YF$13,2,FALSE),IF(E13=Data!$XZ$3,VLOOKUP(D13,Data!$YG$2:$YH$13,2,FALSE)))))</f>
        <v/>
      </c>
      <c r="AP13" s="265" t="str">
        <f t="shared" si="3"/>
        <v/>
      </c>
      <c r="AQ13" s="265" t="str">
        <f t="shared" si="4"/>
        <v/>
      </c>
      <c r="AR13" s="247" t="str">
        <f t="shared" si="5"/>
        <v/>
      </c>
    </row>
    <row r="14" spans="1:44" ht="30" customHeight="1">
      <c r="A14" s="53">
        <v>7</v>
      </c>
      <c r="B14" s="20"/>
      <c r="C14" s="17"/>
      <c r="D14" s="19"/>
      <c r="E14" s="243"/>
      <c r="F14" s="243"/>
      <c r="G14" s="243"/>
      <c r="H14" s="243"/>
      <c r="I14" s="14"/>
      <c r="J14" s="14"/>
      <c r="K14" s="14"/>
      <c r="L14" s="14"/>
      <c r="M14" s="484"/>
      <c r="N14" s="485"/>
      <c r="O14" s="15"/>
      <c r="P14" s="15"/>
      <c r="Q14" s="13" t="str">
        <f t="shared" si="1"/>
        <v/>
      </c>
      <c r="R14" s="267" t="str">
        <f t="shared" si="2"/>
        <v/>
      </c>
      <c r="S14" s="186"/>
      <c r="T14" s="236"/>
      <c r="U14" s="237"/>
      <c r="Y14" s="33" t="str">
        <f t="shared" si="0"/>
        <v>OK</v>
      </c>
      <c r="Z14" s="33" t="str">
        <f>IF(COUNTIF($K$8:$K$57,Data!KF9),Data!KG9,"")</f>
        <v/>
      </c>
      <c r="AB14" s="247" t="e">
        <f>MATCH(E14, Data!$TA$2:$TA$4,0)</f>
        <v>#N/A</v>
      </c>
      <c r="AC14" s="247" t="e">
        <f>MATCH(F14,Data!$TB$1:$TK$1,0)</f>
        <v>#N/A</v>
      </c>
      <c r="AD14" s="247" t="e">
        <f>INDEX(Data!$TB$2:$TK$4,'Cellular Blinds'!AB14,'Cellular Blinds'!AC14)</f>
        <v>#N/A</v>
      </c>
      <c r="AF14" s="33" t="b">
        <f>IF(D14=Data!$UC$2,Data!$UD$1,IF(D14=Data!$UC$3,Data!$UE$1,IF(D14=Data!$UC$4,Data!$UF$1,IF(D14=Data!$UC$5,Data!$UG$1,IF(D14=Data!$UC$6,Data!$UH$1,IF(D14=Data!$UC$7,Data!$UI$1,IF(D14=Data!$UC$8,Data!$UJ$1,IF(D14=Data!$UC$9,Data!$UK$1,IF(D14=Data!$UC$10,Data!$UL$1,IF(D14=Data!$UC$11,Data!$UM$1,IF(D14=Data!$UC$12,Data!$UN$1,IF(D14=Data!$UC$13,Data!$UO$1))))))))))))</f>
        <v>0</v>
      </c>
      <c r="AG14" s="247" t="e">
        <f>MATCH(D14, Data!$UU$2:$UU$13,0)</f>
        <v>#N/A</v>
      </c>
      <c r="AH14" s="247" t="e">
        <f>MATCH(E14,Data!$UV$1:$UX$1,0)</f>
        <v>#N/A</v>
      </c>
      <c r="AI14" s="247" t="e">
        <f>INDEX(Data!$UV$2:$UX$13,'Cellular Blinds'!AG14,'Cellular Blinds'!AH14)</f>
        <v>#N/A</v>
      </c>
      <c r="AK14" s="247" t="e">
        <f>MATCH(E14, Data!$WY$2:$WY$4,0)</f>
        <v>#N/A</v>
      </c>
      <c r="AL14" s="247" t="e">
        <f>MATCH(F14,Data!$WZ$1:$XI$1,0)</f>
        <v>#N/A</v>
      </c>
      <c r="AM14" s="247" t="e">
        <f>INDEX(Data!$WZ$2:$XI$4,'Cellular Blinds'!AK14,'Cellular Blinds'!AL14)</f>
        <v>#N/A</v>
      </c>
      <c r="AN14" s="247" t="b">
        <f>IF(D14=Data!$XL$2,Data!$XM$1,IF(D14=Data!$XL$3,Data!$XN$1,IF(D14=Data!$XL$4,Data!$XO$1,IF(D14=Data!$XL$5,Data!$XP$1,IF(D14=Data!$XL$6,Data!$XQ$1,IF(D14=Data!$XL$7,Data!$XR$1,IF(D14=Data!$XL$8,Data!$XS$1,IF(D14=Data!$XL$9,Data!$XT$1,IF(D14=Data!$XL$10,Data!$XU$1,IF(D14=Data!$XL$11,Data!$XV$1,IF(D14=Data!$XL$12,Data!$XW$1,IF(D14=Data!$XL$13,Data!$XX$1))))))))))))</f>
        <v>0</v>
      </c>
      <c r="AO14" s="247" t="str">
        <f>IF(D14="","",IF(E14=Data!$XZ$2,VLOOKUP(D14,Data!$YB$2:$YC$13,2,FALSE),IF(E14=Data!$XZ$1,VLOOKUP(D14,Data!$YE$2:$YF$13,2,FALSE),IF(E14=Data!$XZ$3,VLOOKUP(D14,Data!$YG$2:$YH$13,2,FALSE)))))</f>
        <v/>
      </c>
      <c r="AP14" s="265" t="str">
        <f t="shared" si="3"/>
        <v/>
      </c>
      <c r="AQ14" s="265" t="str">
        <f t="shared" si="4"/>
        <v/>
      </c>
      <c r="AR14" s="247" t="str">
        <f t="shared" si="5"/>
        <v/>
      </c>
    </row>
    <row r="15" spans="1:44" ht="30" customHeight="1">
      <c r="A15" s="53">
        <v>8</v>
      </c>
      <c r="B15" s="20"/>
      <c r="C15" s="17"/>
      <c r="D15" s="13"/>
      <c r="E15" s="243"/>
      <c r="F15" s="243"/>
      <c r="G15" s="243"/>
      <c r="H15" s="243"/>
      <c r="I15" s="14"/>
      <c r="J15" s="14"/>
      <c r="K15" s="14"/>
      <c r="L15" s="14"/>
      <c r="M15" s="484"/>
      <c r="N15" s="485"/>
      <c r="O15" s="15"/>
      <c r="P15" s="15"/>
      <c r="Q15" s="13" t="str">
        <f t="shared" si="1"/>
        <v/>
      </c>
      <c r="R15" s="267" t="str">
        <f t="shared" si="2"/>
        <v/>
      </c>
      <c r="S15" s="186"/>
      <c r="T15" s="236"/>
      <c r="U15" s="237"/>
      <c r="Y15" s="33" t="str">
        <f t="shared" si="0"/>
        <v>OK</v>
      </c>
      <c r="Z15" s="33" t="str">
        <f>IF(COUNTIF(Z8:Z14,Data!KG6),Data!KH6,"")</f>
        <v/>
      </c>
      <c r="AB15" s="247" t="e">
        <f>MATCH(E15, Data!$TA$2:$TA$4,0)</f>
        <v>#N/A</v>
      </c>
      <c r="AC15" s="247" t="e">
        <f>MATCH(F15,Data!$TB$1:$TK$1,0)</f>
        <v>#N/A</v>
      </c>
      <c r="AD15" s="247" t="e">
        <f>INDEX(Data!$TB$2:$TK$4,'Cellular Blinds'!AB15,'Cellular Blinds'!AC15)</f>
        <v>#N/A</v>
      </c>
      <c r="AF15" s="33" t="b">
        <f>IF(D15=Data!$UC$2,Data!$UD$1,IF(D15=Data!$UC$3,Data!$UE$1,IF(D15=Data!$UC$4,Data!$UF$1,IF(D15=Data!$UC$5,Data!$UG$1,IF(D15=Data!$UC$6,Data!$UH$1,IF(D15=Data!$UC$7,Data!$UI$1,IF(D15=Data!$UC$8,Data!$UJ$1,IF(D15=Data!$UC$9,Data!$UK$1,IF(D15=Data!$UC$10,Data!$UL$1,IF(D15=Data!$UC$11,Data!$UM$1,IF(D15=Data!$UC$12,Data!$UN$1,IF(D15=Data!$UC$13,Data!$UO$1))))))))))))</f>
        <v>0</v>
      </c>
      <c r="AG15" s="247" t="e">
        <f>MATCH(D15, Data!$UU$2:$UU$13,0)</f>
        <v>#N/A</v>
      </c>
      <c r="AH15" s="247" t="e">
        <f>MATCH(E15,Data!$UV$1:$UX$1,0)</f>
        <v>#N/A</v>
      </c>
      <c r="AI15" s="247" t="e">
        <f>INDEX(Data!$UV$2:$UX$13,'Cellular Blinds'!AG15,'Cellular Blinds'!AH15)</f>
        <v>#N/A</v>
      </c>
      <c r="AK15" s="247" t="e">
        <f>MATCH(E15, Data!$WY$2:$WY$4,0)</f>
        <v>#N/A</v>
      </c>
      <c r="AL15" s="247" t="e">
        <f>MATCH(F15,Data!$WZ$1:$XI$1,0)</f>
        <v>#N/A</v>
      </c>
      <c r="AM15" s="247" t="e">
        <f>INDEX(Data!$WZ$2:$XI$4,'Cellular Blinds'!AK15,'Cellular Blinds'!AL15)</f>
        <v>#N/A</v>
      </c>
      <c r="AN15" s="247" t="b">
        <f>IF(D15=Data!$XL$2,Data!$XM$1,IF(D15=Data!$XL$3,Data!$XN$1,IF(D15=Data!$XL$4,Data!$XO$1,IF(D15=Data!$XL$5,Data!$XP$1,IF(D15=Data!$XL$6,Data!$XQ$1,IF(D15=Data!$XL$7,Data!$XR$1,IF(D15=Data!$XL$8,Data!$XS$1,IF(D15=Data!$XL$9,Data!$XT$1,IF(D15=Data!$XL$10,Data!$XU$1,IF(D15=Data!$XL$11,Data!$XV$1,IF(D15=Data!$XL$12,Data!$XW$1,IF(D15=Data!$XL$13,Data!$XX$1))))))))))))</f>
        <v>0</v>
      </c>
      <c r="AO15" s="247" t="str">
        <f>IF(D15="","",IF(E15=Data!$XZ$2,VLOOKUP(D15,Data!$YB$2:$YC$13,2,FALSE),IF(E15=Data!$XZ$1,VLOOKUP(D15,Data!$YE$2:$YF$13,2,FALSE),IF(E15=Data!$XZ$3,VLOOKUP(D15,Data!$YG$2:$YH$13,2,FALSE)))))</f>
        <v/>
      </c>
      <c r="AP15" s="265" t="str">
        <f t="shared" si="3"/>
        <v/>
      </c>
      <c r="AQ15" s="265" t="str">
        <f t="shared" si="4"/>
        <v/>
      </c>
      <c r="AR15" s="247" t="str">
        <f t="shared" si="5"/>
        <v/>
      </c>
    </row>
    <row r="16" spans="1:44" ht="30" customHeight="1">
      <c r="A16" s="53">
        <v>9</v>
      </c>
      <c r="B16" s="17"/>
      <c r="C16" s="17"/>
      <c r="D16" s="13"/>
      <c r="E16" s="243"/>
      <c r="F16" s="243"/>
      <c r="G16" s="243"/>
      <c r="H16" s="243"/>
      <c r="I16" s="14"/>
      <c r="J16" s="14"/>
      <c r="K16" s="14"/>
      <c r="L16" s="14"/>
      <c r="M16" s="484"/>
      <c r="N16" s="485"/>
      <c r="O16" s="15"/>
      <c r="P16" s="15"/>
      <c r="Q16" s="13" t="str">
        <f t="shared" si="1"/>
        <v/>
      </c>
      <c r="R16" s="267" t="str">
        <f t="shared" si="2"/>
        <v/>
      </c>
      <c r="S16" s="186"/>
      <c r="T16" s="236"/>
      <c r="U16" s="237"/>
      <c r="Y16" s="33" t="str">
        <f t="shared" si="0"/>
        <v>OK</v>
      </c>
      <c r="Z16" s="33" t="str">
        <f>IF(COUNTIF(Z8:Z14,Data!KG7),Data!KH7,"")</f>
        <v/>
      </c>
      <c r="AB16" s="247" t="e">
        <f>MATCH(E16, Data!$TA$2:$TA$4,0)</f>
        <v>#N/A</v>
      </c>
      <c r="AC16" s="247" t="e">
        <f>MATCH(F16,Data!$TB$1:$TK$1,0)</f>
        <v>#N/A</v>
      </c>
      <c r="AD16" s="247" t="e">
        <f>INDEX(Data!$TB$2:$TK$4,'Cellular Blinds'!AB16,'Cellular Blinds'!AC16)</f>
        <v>#N/A</v>
      </c>
      <c r="AF16" s="33" t="b">
        <f>IF(D16=Data!$UC$2,Data!$UD$1,IF(D16=Data!$UC$3,Data!$UE$1,IF(D16=Data!$UC$4,Data!$UF$1,IF(D16=Data!$UC$5,Data!$UG$1,IF(D16=Data!$UC$6,Data!$UH$1,IF(D16=Data!$UC$7,Data!$UI$1,IF(D16=Data!$UC$8,Data!$UJ$1,IF(D16=Data!$UC$9,Data!$UK$1,IF(D16=Data!$UC$10,Data!$UL$1,IF(D16=Data!$UC$11,Data!$UM$1,IF(D16=Data!$UC$12,Data!$UN$1,IF(D16=Data!$UC$13,Data!$UO$1))))))))))))</f>
        <v>0</v>
      </c>
      <c r="AG16" s="247" t="e">
        <f>MATCH(D16, Data!$UU$2:$UU$13,0)</f>
        <v>#N/A</v>
      </c>
      <c r="AH16" s="247" t="e">
        <f>MATCH(E16,Data!$UV$1:$UX$1,0)</f>
        <v>#N/A</v>
      </c>
      <c r="AI16" s="247" t="e">
        <f>INDEX(Data!$UV$2:$UX$13,'Cellular Blinds'!AG16,'Cellular Blinds'!AH16)</f>
        <v>#N/A</v>
      </c>
      <c r="AK16" s="247" t="e">
        <f>MATCH(E16, Data!$WY$2:$WY$4,0)</f>
        <v>#N/A</v>
      </c>
      <c r="AL16" s="247" t="e">
        <f>MATCH(F16,Data!$WZ$1:$XI$1,0)</f>
        <v>#N/A</v>
      </c>
      <c r="AM16" s="247" t="e">
        <f>INDEX(Data!$WZ$2:$XI$4,'Cellular Blinds'!AK16,'Cellular Blinds'!AL16)</f>
        <v>#N/A</v>
      </c>
      <c r="AN16" s="247" t="b">
        <f>IF(D16=Data!$XL$2,Data!$XM$1,IF(D16=Data!$XL$3,Data!$XN$1,IF(D16=Data!$XL$4,Data!$XO$1,IF(D16=Data!$XL$5,Data!$XP$1,IF(D16=Data!$XL$6,Data!$XQ$1,IF(D16=Data!$XL$7,Data!$XR$1,IF(D16=Data!$XL$8,Data!$XS$1,IF(D16=Data!$XL$9,Data!$XT$1,IF(D16=Data!$XL$10,Data!$XU$1,IF(D16=Data!$XL$11,Data!$XV$1,IF(D16=Data!$XL$12,Data!$XW$1,IF(D16=Data!$XL$13,Data!$XX$1))))))))))))</f>
        <v>0</v>
      </c>
      <c r="AO16" s="247" t="str">
        <f>IF(D16="","",IF(E16=Data!$XZ$2,VLOOKUP(D16,Data!$YB$2:$YC$13,2,FALSE),IF(E16=Data!$XZ$1,VLOOKUP(D16,Data!$YE$2:$YF$13,2,FALSE),IF(E16=Data!$XZ$3,VLOOKUP(D16,Data!$YG$2:$YH$13,2,FALSE)))))</f>
        <v/>
      </c>
      <c r="AP16" s="265" t="str">
        <f t="shared" si="3"/>
        <v/>
      </c>
      <c r="AQ16" s="265" t="str">
        <f t="shared" si="4"/>
        <v/>
      </c>
      <c r="AR16" s="247" t="str">
        <f t="shared" si="5"/>
        <v/>
      </c>
    </row>
    <row r="17" spans="1:44" ht="30" customHeight="1">
      <c r="A17" s="53">
        <v>10</v>
      </c>
      <c r="B17" s="17"/>
      <c r="C17" s="17"/>
      <c r="D17" s="13"/>
      <c r="E17" s="243"/>
      <c r="F17" s="243"/>
      <c r="G17" s="243"/>
      <c r="H17" s="243"/>
      <c r="I17" s="14"/>
      <c r="J17" s="14"/>
      <c r="K17" s="14"/>
      <c r="L17" s="14"/>
      <c r="M17" s="484"/>
      <c r="N17" s="485"/>
      <c r="O17" s="15"/>
      <c r="P17" s="15"/>
      <c r="Q17" s="13" t="str">
        <f t="shared" si="1"/>
        <v/>
      </c>
      <c r="R17" s="267" t="str">
        <f t="shared" si="2"/>
        <v/>
      </c>
      <c r="S17" s="186"/>
      <c r="T17" s="236"/>
      <c r="U17" s="237"/>
      <c r="Y17" s="33" t="str">
        <f t="shared" si="0"/>
        <v>OK</v>
      </c>
      <c r="Z17" s="33" t="str">
        <f>Z15&amp;" &amp; "&amp;Z16&amp;""</f>
        <v xml:space="preserve"> &amp; </v>
      </c>
      <c r="AB17" s="247" t="e">
        <f>MATCH(E17, Data!$TA$2:$TA$4,0)</f>
        <v>#N/A</v>
      </c>
      <c r="AC17" s="247" t="e">
        <f>MATCH(F17,Data!$TB$1:$TK$1,0)</f>
        <v>#N/A</v>
      </c>
      <c r="AD17" s="247" t="e">
        <f>INDEX(Data!$TB$2:$TK$4,'Cellular Blinds'!AB17,'Cellular Blinds'!AC17)</f>
        <v>#N/A</v>
      </c>
      <c r="AF17" s="33" t="b">
        <f>IF(D17=Data!$UC$2,Data!$UD$1,IF(D17=Data!$UC$3,Data!$UE$1,IF(D17=Data!$UC$4,Data!$UF$1,IF(D17=Data!$UC$5,Data!$UG$1,IF(D17=Data!$UC$6,Data!$UH$1,IF(D17=Data!$UC$7,Data!$UI$1,IF(D17=Data!$UC$8,Data!$UJ$1,IF(D17=Data!$UC$9,Data!$UK$1,IF(D17=Data!$UC$10,Data!$UL$1,IF(D17=Data!$UC$11,Data!$UM$1,IF(D17=Data!$UC$12,Data!$UN$1,IF(D17=Data!$UC$13,Data!$UO$1))))))))))))</f>
        <v>0</v>
      </c>
      <c r="AG17" s="247" t="e">
        <f>MATCH(D17, Data!$UU$2:$UU$13,0)</f>
        <v>#N/A</v>
      </c>
      <c r="AH17" s="247" t="e">
        <f>MATCH(E17,Data!$UV$1:$UX$1,0)</f>
        <v>#N/A</v>
      </c>
      <c r="AI17" s="247" t="e">
        <f>INDEX(Data!$UV$2:$UX$13,'Cellular Blinds'!AG17,'Cellular Blinds'!AH17)</f>
        <v>#N/A</v>
      </c>
      <c r="AK17" s="247" t="e">
        <f>MATCH(E17, Data!$WY$2:$WY$4,0)</f>
        <v>#N/A</v>
      </c>
      <c r="AL17" s="247" t="e">
        <f>MATCH(F17,Data!$WZ$1:$XI$1,0)</f>
        <v>#N/A</v>
      </c>
      <c r="AM17" s="247" t="e">
        <f>INDEX(Data!$WZ$2:$XI$4,'Cellular Blinds'!AK17,'Cellular Blinds'!AL17)</f>
        <v>#N/A</v>
      </c>
      <c r="AN17" s="247" t="b">
        <f>IF(D17=Data!$XL$2,Data!$XM$1,IF(D17=Data!$XL$3,Data!$XN$1,IF(D17=Data!$XL$4,Data!$XO$1,IF(D17=Data!$XL$5,Data!$XP$1,IF(D17=Data!$XL$6,Data!$XQ$1,IF(D17=Data!$XL$7,Data!$XR$1,IF(D17=Data!$XL$8,Data!$XS$1,IF(D17=Data!$XL$9,Data!$XT$1,IF(D17=Data!$XL$10,Data!$XU$1,IF(D17=Data!$XL$11,Data!$XV$1,IF(D17=Data!$XL$12,Data!$XW$1,IF(D17=Data!$XL$13,Data!$XX$1))))))))))))</f>
        <v>0</v>
      </c>
      <c r="AO17" s="247" t="str">
        <f>IF(D17="","",IF(E17=Data!$XZ$2,VLOOKUP(D17,Data!$YB$2:$YC$13,2,FALSE),IF(E17=Data!$XZ$1,VLOOKUP(D17,Data!$YE$2:$YF$13,2,FALSE),IF(E17=Data!$XZ$3,VLOOKUP(D17,Data!$YG$2:$YH$13,2,FALSE)))))</f>
        <v/>
      </c>
      <c r="AP17" s="265" t="str">
        <f t="shared" si="3"/>
        <v/>
      </c>
      <c r="AQ17" s="265" t="str">
        <f t="shared" si="4"/>
        <v/>
      </c>
      <c r="AR17" s="247" t="str">
        <f t="shared" si="5"/>
        <v/>
      </c>
    </row>
    <row r="18" spans="1:44" ht="30" customHeight="1">
      <c r="A18" s="53">
        <v>11</v>
      </c>
      <c r="B18" s="17"/>
      <c r="C18" s="17"/>
      <c r="D18" s="13"/>
      <c r="E18" s="243"/>
      <c r="F18" s="243"/>
      <c r="G18" s="243"/>
      <c r="H18" s="243"/>
      <c r="I18" s="14"/>
      <c r="J18" s="14"/>
      <c r="K18" s="14"/>
      <c r="L18" s="14"/>
      <c r="M18" s="484"/>
      <c r="N18" s="485"/>
      <c r="O18" s="15"/>
      <c r="P18" s="15"/>
      <c r="Q18" s="13" t="str">
        <f t="shared" si="1"/>
        <v/>
      </c>
      <c r="R18" s="267" t="str">
        <f t="shared" si="2"/>
        <v/>
      </c>
      <c r="S18" s="186"/>
      <c r="T18" s="236"/>
      <c r="U18" s="237"/>
      <c r="Y18" s="33" t="str">
        <f t="shared" si="0"/>
        <v>OK</v>
      </c>
      <c r="Z18" s="33" t="str">
        <f>IF(Z17="Corner &amp; Bay","Corner &amp; Bay Window Diagram Must Be Supplied",IF(Z15="Corner","Corner Window Diagram Must Be Supplied",IF(Z16="Bay","Bay Window Diagram Must Be Supplied","")))</f>
        <v/>
      </c>
      <c r="AB18" s="247" t="e">
        <f>MATCH(E18, Data!$TA$2:$TA$4,0)</f>
        <v>#N/A</v>
      </c>
      <c r="AC18" s="247" t="e">
        <f>MATCH(F18,Data!$TB$1:$TK$1,0)</f>
        <v>#N/A</v>
      </c>
      <c r="AD18" s="247" t="e">
        <f>INDEX(Data!$TB$2:$TK$4,'Cellular Blinds'!AB18,'Cellular Blinds'!AC18)</f>
        <v>#N/A</v>
      </c>
      <c r="AF18" s="33" t="b">
        <f>IF(D18=Data!$UC$2,Data!$UD$1,IF(D18=Data!$UC$3,Data!$UE$1,IF(D18=Data!$UC$4,Data!$UF$1,IF(D18=Data!$UC$5,Data!$UG$1,IF(D18=Data!$UC$6,Data!$UH$1,IF(D18=Data!$UC$7,Data!$UI$1,IF(D18=Data!$UC$8,Data!$UJ$1,IF(D18=Data!$UC$9,Data!$UK$1,IF(D18=Data!$UC$10,Data!$UL$1,IF(D18=Data!$UC$11,Data!$UM$1,IF(D18=Data!$UC$12,Data!$UN$1,IF(D18=Data!$UC$13,Data!$UO$1))))))))))))</f>
        <v>0</v>
      </c>
      <c r="AG18" s="247" t="e">
        <f>MATCH(D18, Data!$UU$2:$UU$13,0)</f>
        <v>#N/A</v>
      </c>
      <c r="AH18" s="247" t="e">
        <f>MATCH(E18,Data!$UV$1:$UX$1,0)</f>
        <v>#N/A</v>
      </c>
      <c r="AI18" s="247" t="e">
        <f>INDEX(Data!$UV$2:$UX$13,'Cellular Blinds'!AG18,'Cellular Blinds'!AH18)</f>
        <v>#N/A</v>
      </c>
      <c r="AK18" s="247" t="e">
        <f>MATCH(E18, Data!$WY$2:$WY$4,0)</f>
        <v>#N/A</v>
      </c>
      <c r="AL18" s="247" t="e">
        <f>MATCH(F18,Data!$WZ$1:$XI$1,0)</f>
        <v>#N/A</v>
      </c>
      <c r="AM18" s="247" t="e">
        <f>INDEX(Data!$WZ$2:$XI$4,'Cellular Blinds'!AK18,'Cellular Blinds'!AL18)</f>
        <v>#N/A</v>
      </c>
      <c r="AN18" s="247" t="b">
        <f>IF(D18=Data!$XL$2,Data!$XM$1,IF(D18=Data!$XL$3,Data!$XN$1,IF(D18=Data!$XL$4,Data!$XO$1,IF(D18=Data!$XL$5,Data!$XP$1,IF(D18=Data!$XL$6,Data!$XQ$1,IF(D18=Data!$XL$7,Data!$XR$1,IF(D18=Data!$XL$8,Data!$XS$1,IF(D18=Data!$XL$9,Data!$XT$1,IF(D18=Data!$XL$10,Data!$XU$1,IF(D18=Data!$XL$11,Data!$XV$1,IF(D18=Data!$XL$12,Data!$XW$1,IF(D18=Data!$XL$13,Data!$XX$1))))))))))))</f>
        <v>0</v>
      </c>
      <c r="AO18" s="247" t="str">
        <f>IF(D18="","",IF(E18=Data!$XZ$2,VLOOKUP(D18,Data!$YB$2:$YC$13,2,FALSE),IF(E18=Data!$XZ$1,VLOOKUP(D18,Data!$YE$2:$YF$13,2,FALSE),IF(E18=Data!$XZ$3,VLOOKUP(D18,Data!$YG$2:$YH$13,2,FALSE)))))</f>
        <v/>
      </c>
      <c r="AP18" s="265" t="str">
        <f t="shared" si="3"/>
        <v/>
      </c>
      <c r="AQ18" s="265" t="str">
        <f t="shared" si="4"/>
        <v/>
      </c>
      <c r="AR18" s="247" t="str">
        <f t="shared" si="5"/>
        <v/>
      </c>
    </row>
    <row r="19" spans="1:44" ht="30" customHeight="1">
      <c r="A19" s="53">
        <v>12</v>
      </c>
      <c r="B19" s="17"/>
      <c r="C19" s="17"/>
      <c r="D19" s="13"/>
      <c r="E19" s="243"/>
      <c r="F19" s="243"/>
      <c r="G19" s="243"/>
      <c r="H19" s="243"/>
      <c r="I19" s="14"/>
      <c r="J19" s="14"/>
      <c r="K19" s="14"/>
      <c r="L19" s="14"/>
      <c r="M19" s="484"/>
      <c r="N19" s="485"/>
      <c r="O19" s="15"/>
      <c r="P19" s="15"/>
      <c r="Q19" s="13" t="str">
        <f t="shared" si="1"/>
        <v/>
      </c>
      <c r="R19" s="267" t="str">
        <f t="shared" si="2"/>
        <v/>
      </c>
      <c r="S19" s="186"/>
      <c r="T19" s="236"/>
      <c r="U19" s="237"/>
      <c r="Y19" s="33" t="str">
        <f t="shared" si="0"/>
        <v>OK</v>
      </c>
      <c r="AB19" s="247" t="e">
        <f>MATCH(E19, Data!$TA$2:$TA$4,0)</f>
        <v>#N/A</v>
      </c>
      <c r="AC19" s="247" t="e">
        <f>MATCH(F19,Data!$TB$1:$TK$1,0)</f>
        <v>#N/A</v>
      </c>
      <c r="AD19" s="247" t="e">
        <f>INDEX(Data!$TB$2:$TK$4,'Cellular Blinds'!AB19,'Cellular Blinds'!AC19)</f>
        <v>#N/A</v>
      </c>
      <c r="AF19" s="33" t="b">
        <f>IF(D19=Data!$UC$2,Data!$UD$1,IF(D19=Data!$UC$3,Data!$UE$1,IF(D19=Data!$UC$4,Data!$UF$1,IF(D19=Data!$UC$5,Data!$UG$1,IF(D19=Data!$UC$6,Data!$UH$1,IF(D19=Data!$UC$7,Data!$UI$1,IF(D19=Data!$UC$8,Data!$UJ$1,IF(D19=Data!$UC$9,Data!$UK$1,IF(D19=Data!$UC$10,Data!$UL$1,IF(D19=Data!$UC$11,Data!$UM$1,IF(D19=Data!$UC$12,Data!$UN$1,IF(D19=Data!$UC$13,Data!$UO$1))))))))))))</f>
        <v>0</v>
      </c>
      <c r="AG19" s="247" t="e">
        <f>MATCH(D19, Data!$UU$2:$UU$13,0)</f>
        <v>#N/A</v>
      </c>
      <c r="AH19" s="247" t="e">
        <f>MATCH(E19,Data!$UV$1:$UX$1,0)</f>
        <v>#N/A</v>
      </c>
      <c r="AI19" s="247" t="e">
        <f>INDEX(Data!$UV$2:$UX$13,'Cellular Blinds'!AG19,'Cellular Blinds'!AH19)</f>
        <v>#N/A</v>
      </c>
      <c r="AK19" s="247" t="e">
        <f>MATCH(E19, Data!$WY$2:$WY$4,0)</f>
        <v>#N/A</v>
      </c>
      <c r="AL19" s="247" t="e">
        <f>MATCH(F19,Data!$WZ$1:$XI$1,0)</f>
        <v>#N/A</v>
      </c>
      <c r="AM19" s="247" t="e">
        <f>INDEX(Data!$WZ$2:$XI$4,'Cellular Blinds'!AK19,'Cellular Blinds'!AL19)</f>
        <v>#N/A</v>
      </c>
      <c r="AN19" s="247" t="b">
        <f>IF(D19=Data!$XL$2,Data!$XM$1,IF(D19=Data!$XL$3,Data!$XN$1,IF(D19=Data!$XL$4,Data!$XO$1,IF(D19=Data!$XL$5,Data!$XP$1,IF(D19=Data!$XL$6,Data!$XQ$1,IF(D19=Data!$XL$7,Data!$XR$1,IF(D19=Data!$XL$8,Data!$XS$1,IF(D19=Data!$XL$9,Data!$XT$1,IF(D19=Data!$XL$10,Data!$XU$1,IF(D19=Data!$XL$11,Data!$XV$1,IF(D19=Data!$XL$12,Data!$XW$1,IF(D19=Data!$XL$13,Data!$XX$1))))))))))))</f>
        <v>0</v>
      </c>
      <c r="AO19" s="247" t="str">
        <f>IF(D19="","",IF(E19=Data!$XZ$2,VLOOKUP(D19,Data!$YB$2:$YC$13,2,FALSE),IF(E19=Data!$XZ$1,VLOOKUP(D19,Data!$YE$2:$YF$13,2,FALSE),IF(E19=Data!$XZ$3,VLOOKUP(D19,Data!$YG$2:$YH$13,2,FALSE)))))</f>
        <v/>
      </c>
      <c r="AP19" s="265" t="str">
        <f t="shared" si="3"/>
        <v/>
      </c>
      <c r="AQ19" s="265" t="str">
        <f t="shared" si="4"/>
        <v/>
      </c>
      <c r="AR19" s="247" t="str">
        <f t="shared" si="5"/>
        <v/>
      </c>
    </row>
    <row r="20" spans="1:44" ht="30" customHeight="1">
      <c r="A20" s="53">
        <v>13</v>
      </c>
      <c r="B20" s="20"/>
      <c r="C20" s="17"/>
      <c r="D20" s="13"/>
      <c r="E20" s="243"/>
      <c r="F20" s="243"/>
      <c r="G20" s="243"/>
      <c r="H20" s="243"/>
      <c r="I20" s="14"/>
      <c r="J20" s="14"/>
      <c r="K20" s="14"/>
      <c r="L20" s="14"/>
      <c r="M20" s="484"/>
      <c r="N20" s="485"/>
      <c r="O20" s="15"/>
      <c r="P20" s="15"/>
      <c r="Q20" s="13" t="str">
        <f t="shared" si="1"/>
        <v/>
      </c>
      <c r="R20" s="267" t="str">
        <f t="shared" si="2"/>
        <v/>
      </c>
      <c r="S20" s="186"/>
      <c r="T20" s="236"/>
      <c r="U20" s="237"/>
      <c r="Y20" s="33" t="str">
        <f t="shared" si="0"/>
        <v>OK</v>
      </c>
      <c r="AB20" s="247" t="e">
        <f>MATCH(E20, Data!$TA$2:$TA$4,0)</f>
        <v>#N/A</v>
      </c>
      <c r="AC20" s="247" t="e">
        <f>MATCH(F20,Data!$TB$1:$TK$1,0)</f>
        <v>#N/A</v>
      </c>
      <c r="AD20" s="247" t="e">
        <f>INDEX(Data!$TB$2:$TK$4,'Cellular Blinds'!AB20,'Cellular Blinds'!AC20)</f>
        <v>#N/A</v>
      </c>
      <c r="AF20" s="33" t="b">
        <f>IF(D20=Data!$UC$2,Data!$UD$1,IF(D20=Data!$UC$3,Data!$UE$1,IF(D20=Data!$UC$4,Data!$UF$1,IF(D20=Data!$UC$5,Data!$UG$1,IF(D20=Data!$UC$6,Data!$UH$1,IF(D20=Data!$UC$7,Data!$UI$1,IF(D20=Data!$UC$8,Data!$UJ$1,IF(D20=Data!$UC$9,Data!$UK$1,IF(D20=Data!$UC$10,Data!$UL$1,IF(D20=Data!$UC$11,Data!$UM$1,IF(D20=Data!$UC$12,Data!$UN$1,IF(D20=Data!$UC$13,Data!$UO$1))))))))))))</f>
        <v>0</v>
      </c>
      <c r="AG20" s="247" t="e">
        <f>MATCH(D20, Data!$UU$2:$UU$13,0)</f>
        <v>#N/A</v>
      </c>
      <c r="AH20" s="247" t="e">
        <f>MATCH(E20,Data!$UV$1:$UX$1,0)</f>
        <v>#N/A</v>
      </c>
      <c r="AI20" s="247" t="e">
        <f>INDEX(Data!$UV$2:$UX$13,'Cellular Blinds'!AG20,'Cellular Blinds'!AH20)</f>
        <v>#N/A</v>
      </c>
      <c r="AK20" s="247" t="e">
        <f>MATCH(E20, Data!$WY$2:$WY$4,0)</f>
        <v>#N/A</v>
      </c>
      <c r="AL20" s="247" t="e">
        <f>MATCH(F20,Data!$WZ$1:$XI$1,0)</f>
        <v>#N/A</v>
      </c>
      <c r="AM20" s="247" t="e">
        <f>INDEX(Data!$WZ$2:$XI$4,'Cellular Blinds'!AK20,'Cellular Blinds'!AL20)</f>
        <v>#N/A</v>
      </c>
      <c r="AN20" s="247" t="b">
        <f>IF(D20=Data!$XL$2,Data!$XM$1,IF(D20=Data!$XL$3,Data!$XN$1,IF(D20=Data!$XL$4,Data!$XO$1,IF(D20=Data!$XL$5,Data!$XP$1,IF(D20=Data!$XL$6,Data!$XQ$1,IF(D20=Data!$XL$7,Data!$XR$1,IF(D20=Data!$XL$8,Data!$XS$1,IF(D20=Data!$XL$9,Data!$XT$1,IF(D20=Data!$XL$10,Data!$XU$1,IF(D20=Data!$XL$11,Data!$XV$1,IF(D20=Data!$XL$12,Data!$XW$1,IF(D20=Data!$XL$13,Data!$XX$1))))))))))))</f>
        <v>0</v>
      </c>
      <c r="AO20" s="247" t="str">
        <f>IF(D20="","",IF(E20=Data!$XZ$2,VLOOKUP(D20,Data!$YB$2:$YC$13,2,FALSE),IF(E20=Data!$XZ$1,VLOOKUP(D20,Data!$YE$2:$YF$13,2,FALSE),IF(E20=Data!$XZ$3,VLOOKUP(D20,Data!$YG$2:$YH$13,2,FALSE)))))</f>
        <v/>
      </c>
      <c r="AP20" s="265" t="str">
        <f t="shared" si="3"/>
        <v/>
      </c>
      <c r="AQ20" s="265" t="str">
        <f t="shared" si="4"/>
        <v/>
      </c>
      <c r="AR20" s="247" t="str">
        <f t="shared" si="5"/>
        <v/>
      </c>
    </row>
    <row r="21" spans="1:44" ht="30" customHeight="1">
      <c r="A21" s="53">
        <v>14</v>
      </c>
      <c r="B21" s="17"/>
      <c r="C21" s="17"/>
      <c r="D21" s="13"/>
      <c r="E21" s="243"/>
      <c r="F21" s="243"/>
      <c r="G21" s="243"/>
      <c r="H21" s="243"/>
      <c r="I21" s="14"/>
      <c r="J21" s="14"/>
      <c r="K21" s="14"/>
      <c r="L21" s="14"/>
      <c r="M21" s="484"/>
      <c r="N21" s="485"/>
      <c r="O21" s="15"/>
      <c r="P21" s="15"/>
      <c r="Q21" s="13" t="str">
        <f t="shared" si="1"/>
        <v/>
      </c>
      <c r="R21" s="267" t="str">
        <f t="shared" si="2"/>
        <v/>
      </c>
      <c r="S21" s="186"/>
      <c r="T21" s="236"/>
      <c r="U21" s="237"/>
      <c r="Y21" s="33" t="str">
        <f t="shared" si="0"/>
        <v>OK</v>
      </c>
      <c r="AB21" s="247" t="e">
        <f>MATCH(E21, Data!$TA$2:$TA$4,0)</f>
        <v>#N/A</v>
      </c>
      <c r="AC21" s="247" t="e">
        <f>MATCH(F21,Data!$TB$1:$TK$1,0)</f>
        <v>#N/A</v>
      </c>
      <c r="AD21" s="247" t="e">
        <f>INDEX(Data!$TB$2:$TK$4,'Cellular Blinds'!AB21,'Cellular Blinds'!AC21)</f>
        <v>#N/A</v>
      </c>
      <c r="AF21" s="33" t="b">
        <f>IF(D21=Data!$UC$2,Data!$UD$1,IF(D21=Data!$UC$3,Data!$UE$1,IF(D21=Data!$UC$4,Data!$UF$1,IF(D21=Data!$UC$5,Data!$UG$1,IF(D21=Data!$UC$6,Data!$UH$1,IF(D21=Data!$UC$7,Data!$UI$1,IF(D21=Data!$UC$8,Data!$UJ$1,IF(D21=Data!$UC$9,Data!$UK$1,IF(D21=Data!$UC$10,Data!$UL$1,IF(D21=Data!$UC$11,Data!$UM$1,IF(D21=Data!$UC$12,Data!$UN$1,IF(D21=Data!$UC$13,Data!$UO$1))))))))))))</f>
        <v>0</v>
      </c>
      <c r="AG21" s="247" t="e">
        <f>MATCH(D21, Data!$UU$2:$UU$13,0)</f>
        <v>#N/A</v>
      </c>
      <c r="AH21" s="247" t="e">
        <f>MATCH(E21,Data!$UV$1:$UX$1,0)</f>
        <v>#N/A</v>
      </c>
      <c r="AI21" s="247" t="e">
        <f>INDEX(Data!$UV$2:$UX$13,'Cellular Blinds'!AG21,'Cellular Blinds'!AH21)</f>
        <v>#N/A</v>
      </c>
      <c r="AK21" s="247" t="e">
        <f>MATCH(E21, Data!$WY$2:$WY$4,0)</f>
        <v>#N/A</v>
      </c>
      <c r="AL21" s="247" t="e">
        <f>MATCH(F21,Data!$WZ$1:$XI$1,0)</f>
        <v>#N/A</v>
      </c>
      <c r="AM21" s="247" t="e">
        <f>INDEX(Data!$WZ$2:$XI$4,'Cellular Blinds'!AK21,'Cellular Blinds'!AL21)</f>
        <v>#N/A</v>
      </c>
      <c r="AN21" s="247" t="b">
        <f>IF(D21=Data!$XL$2,Data!$XM$1,IF(D21=Data!$XL$3,Data!$XN$1,IF(D21=Data!$XL$4,Data!$XO$1,IF(D21=Data!$XL$5,Data!$XP$1,IF(D21=Data!$XL$6,Data!$XQ$1,IF(D21=Data!$XL$7,Data!$XR$1,IF(D21=Data!$XL$8,Data!$XS$1,IF(D21=Data!$XL$9,Data!$XT$1,IF(D21=Data!$XL$10,Data!$XU$1,IF(D21=Data!$XL$11,Data!$XV$1,IF(D21=Data!$XL$12,Data!$XW$1,IF(D21=Data!$XL$13,Data!$XX$1))))))))))))</f>
        <v>0</v>
      </c>
      <c r="AO21" s="247" t="str">
        <f>IF(D21="","",IF(E21=Data!$XZ$2,VLOOKUP(D21,Data!$YB$2:$YC$13,2,FALSE),IF(E21=Data!$XZ$1,VLOOKUP(D21,Data!$YE$2:$YF$13,2,FALSE),IF(E21=Data!$XZ$3,VLOOKUP(D21,Data!$YG$2:$YH$13,2,FALSE)))))</f>
        <v/>
      </c>
      <c r="AP21" s="265" t="str">
        <f t="shared" si="3"/>
        <v/>
      </c>
      <c r="AQ21" s="265" t="str">
        <f t="shared" si="4"/>
        <v/>
      </c>
      <c r="AR21" s="247" t="str">
        <f t="shared" si="5"/>
        <v/>
      </c>
    </row>
    <row r="22" spans="1:44" ht="30" customHeight="1">
      <c r="A22" s="53">
        <v>15</v>
      </c>
      <c r="B22" s="17"/>
      <c r="C22" s="17"/>
      <c r="D22" s="13"/>
      <c r="E22" s="243"/>
      <c r="F22" s="243"/>
      <c r="G22" s="243"/>
      <c r="H22" s="243"/>
      <c r="I22" s="14"/>
      <c r="J22" s="14"/>
      <c r="K22" s="14"/>
      <c r="L22" s="14"/>
      <c r="M22" s="484"/>
      <c r="N22" s="485"/>
      <c r="O22" s="15"/>
      <c r="P22" s="15"/>
      <c r="Q22" s="13" t="str">
        <f t="shared" si="1"/>
        <v/>
      </c>
      <c r="R22" s="267" t="str">
        <f t="shared" si="2"/>
        <v/>
      </c>
      <c r="S22" s="186"/>
      <c r="T22" s="236"/>
      <c r="U22" s="237"/>
      <c r="Y22" s="33" t="str">
        <f t="shared" si="0"/>
        <v>OK</v>
      </c>
      <c r="AB22" s="247" t="e">
        <f>MATCH(E22, Data!$TA$2:$TA$4,0)</f>
        <v>#N/A</v>
      </c>
      <c r="AC22" s="247" t="e">
        <f>MATCH(F22,Data!$TB$1:$TK$1,0)</f>
        <v>#N/A</v>
      </c>
      <c r="AD22" s="247" t="e">
        <f>INDEX(Data!$TB$2:$TK$4,'Cellular Blinds'!AB22,'Cellular Blinds'!AC22)</f>
        <v>#N/A</v>
      </c>
      <c r="AF22" s="33" t="b">
        <f>IF(D22=Data!$UC$2,Data!$UD$1,IF(D22=Data!$UC$3,Data!$UE$1,IF(D22=Data!$UC$4,Data!$UF$1,IF(D22=Data!$UC$5,Data!$UG$1,IF(D22=Data!$UC$6,Data!$UH$1,IF(D22=Data!$UC$7,Data!$UI$1,IF(D22=Data!$UC$8,Data!$UJ$1,IF(D22=Data!$UC$9,Data!$UK$1,IF(D22=Data!$UC$10,Data!$UL$1,IF(D22=Data!$UC$11,Data!$UM$1,IF(D22=Data!$UC$12,Data!$UN$1,IF(D22=Data!$UC$13,Data!$UO$1))))))))))))</f>
        <v>0</v>
      </c>
      <c r="AG22" s="247" t="e">
        <f>MATCH(D22, Data!$UU$2:$UU$13,0)</f>
        <v>#N/A</v>
      </c>
      <c r="AH22" s="247" t="e">
        <f>MATCH(E22,Data!$UV$1:$UX$1,0)</f>
        <v>#N/A</v>
      </c>
      <c r="AI22" s="247" t="e">
        <f>INDEX(Data!$UV$2:$UX$13,'Cellular Blinds'!AG22,'Cellular Blinds'!AH22)</f>
        <v>#N/A</v>
      </c>
      <c r="AK22" s="247" t="e">
        <f>MATCH(E22, Data!$WY$2:$WY$4,0)</f>
        <v>#N/A</v>
      </c>
      <c r="AL22" s="247" t="e">
        <f>MATCH(F22,Data!$WZ$1:$XI$1,0)</f>
        <v>#N/A</v>
      </c>
      <c r="AM22" s="247" t="e">
        <f>INDEX(Data!$WZ$2:$XI$4,'Cellular Blinds'!AK22,'Cellular Blinds'!AL22)</f>
        <v>#N/A</v>
      </c>
      <c r="AN22" s="247" t="b">
        <f>IF(D22=Data!$XL$2,Data!$XM$1,IF(D22=Data!$XL$3,Data!$XN$1,IF(D22=Data!$XL$4,Data!$XO$1,IF(D22=Data!$XL$5,Data!$XP$1,IF(D22=Data!$XL$6,Data!$XQ$1,IF(D22=Data!$XL$7,Data!$XR$1,IF(D22=Data!$XL$8,Data!$XS$1,IF(D22=Data!$XL$9,Data!$XT$1,IF(D22=Data!$XL$10,Data!$XU$1,IF(D22=Data!$XL$11,Data!$XV$1,IF(D22=Data!$XL$12,Data!$XW$1,IF(D22=Data!$XL$13,Data!$XX$1))))))))))))</f>
        <v>0</v>
      </c>
      <c r="AO22" s="247" t="str">
        <f>IF(D22="","",IF(E22=Data!$XZ$2,VLOOKUP(D22,Data!$YB$2:$YC$13,2,FALSE),IF(E22=Data!$XZ$1,VLOOKUP(D22,Data!$YE$2:$YF$13,2,FALSE),IF(E22=Data!$XZ$3,VLOOKUP(D22,Data!$YG$2:$YH$13,2,FALSE)))))</f>
        <v/>
      </c>
      <c r="AP22" s="265" t="str">
        <f t="shared" si="3"/>
        <v/>
      </c>
      <c r="AQ22" s="265" t="str">
        <f t="shared" si="4"/>
        <v/>
      </c>
      <c r="AR22" s="247" t="str">
        <f t="shared" si="5"/>
        <v/>
      </c>
    </row>
    <row r="23" spans="1:44" ht="30" customHeight="1">
      <c r="A23" s="53">
        <v>16</v>
      </c>
      <c r="B23" s="17"/>
      <c r="C23" s="17"/>
      <c r="D23" s="13"/>
      <c r="E23" s="243"/>
      <c r="F23" s="243"/>
      <c r="G23" s="243"/>
      <c r="H23" s="243"/>
      <c r="I23" s="14"/>
      <c r="J23" s="14"/>
      <c r="K23" s="14"/>
      <c r="L23" s="14"/>
      <c r="M23" s="484"/>
      <c r="N23" s="485"/>
      <c r="O23" s="15"/>
      <c r="P23" s="15"/>
      <c r="Q23" s="13" t="str">
        <f t="shared" si="1"/>
        <v/>
      </c>
      <c r="R23" s="267" t="str">
        <f t="shared" si="2"/>
        <v/>
      </c>
      <c r="S23" s="186"/>
      <c r="T23" s="236"/>
      <c r="U23" s="237"/>
      <c r="Y23" s="33" t="str">
        <f t="shared" si="0"/>
        <v>OK</v>
      </c>
      <c r="AB23" s="247" t="e">
        <f>MATCH(E23, Data!$TA$2:$TA$4,0)</f>
        <v>#N/A</v>
      </c>
      <c r="AC23" s="247" t="e">
        <f>MATCH(F23,Data!$TB$1:$TK$1,0)</f>
        <v>#N/A</v>
      </c>
      <c r="AD23" s="247" t="e">
        <f>INDEX(Data!$TB$2:$TK$4,'Cellular Blinds'!AB23,'Cellular Blinds'!AC23)</f>
        <v>#N/A</v>
      </c>
      <c r="AF23" s="33" t="b">
        <f>IF(D23=Data!$UC$2,Data!$UD$1,IF(D23=Data!$UC$3,Data!$UE$1,IF(D23=Data!$UC$4,Data!$UF$1,IF(D23=Data!$UC$5,Data!$UG$1,IF(D23=Data!$UC$6,Data!$UH$1,IF(D23=Data!$UC$7,Data!$UI$1,IF(D23=Data!$UC$8,Data!$UJ$1,IF(D23=Data!$UC$9,Data!$UK$1,IF(D23=Data!$UC$10,Data!$UL$1,IF(D23=Data!$UC$11,Data!$UM$1,IF(D23=Data!$UC$12,Data!$UN$1,IF(D23=Data!$UC$13,Data!$UO$1))))))))))))</f>
        <v>0</v>
      </c>
      <c r="AG23" s="247" t="e">
        <f>MATCH(D23, Data!$UU$2:$UU$13,0)</f>
        <v>#N/A</v>
      </c>
      <c r="AH23" s="247" t="e">
        <f>MATCH(E23,Data!$UV$1:$UX$1,0)</f>
        <v>#N/A</v>
      </c>
      <c r="AI23" s="247" t="e">
        <f>INDEX(Data!$UV$2:$UX$13,'Cellular Blinds'!AG23,'Cellular Blinds'!AH23)</f>
        <v>#N/A</v>
      </c>
      <c r="AK23" s="247" t="e">
        <f>MATCH(E23, Data!$WY$2:$WY$4,0)</f>
        <v>#N/A</v>
      </c>
      <c r="AL23" s="247" t="e">
        <f>MATCH(F23,Data!$WZ$1:$XI$1,0)</f>
        <v>#N/A</v>
      </c>
      <c r="AM23" s="247" t="e">
        <f>INDEX(Data!$WZ$2:$XI$4,'Cellular Blinds'!AK23,'Cellular Blinds'!AL23)</f>
        <v>#N/A</v>
      </c>
      <c r="AN23" s="247" t="b">
        <f>IF(D23=Data!$XL$2,Data!$XM$1,IF(D23=Data!$XL$3,Data!$XN$1,IF(D23=Data!$XL$4,Data!$XO$1,IF(D23=Data!$XL$5,Data!$XP$1,IF(D23=Data!$XL$6,Data!$XQ$1,IF(D23=Data!$XL$7,Data!$XR$1,IF(D23=Data!$XL$8,Data!$XS$1,IF(D23=Data!$XL$9,Data!$XT$1,IF(D23=Data!$XL$10,Data!$XU$1,IF(D23=Data!$XL$11,Data!$XV$1,IF(D23=Data!$XL$12,Data!$XW$1,IF(D23=Data!$XL$13,Data!$XX$1))))))))))))</f>
        <v>0</v>
      </c>
      <c r="AO23" s="247" t="str">
        <f>IF(D23="","",IF(E23=Data!$XZ$2,VLOOKUP(D23,Data!$YB$2:$YC$13,2,FALSE),IF(E23=Data!$XZ$1,VLOOKUP(D23,Data!$YE$2:$YF$13,2,FALSE),IF(E23=Data!$XZ$3,VLOOKUP(D23,Data!$YG$2:$YH$13,2,FALSE)))))</f>
        <v/>
      </c>
      <c r="AP23" s="265" t="str">
        <f t="shared" si="3"/>
        <v/>
      </c>
      <c r="AQ23" s="265" t="str">
        <f t="shared" si="4"/>
        <v/>
      </c>
      <c r="AR23" s="247" t="str">
        <f t="shared" si="5"/>
        <v/>
      </c>
    </row>
    <row r="24" spans="1:44" ht="30" customHeight="1">
      <c r="A24" s="53">
        <v>17</v>
      </c>
      <c r="B24" s="20"/>
      <c r="C24" s="17"/>
      <c r="D24" s="13"/>
      <c r="E24" s="243"/>
      <c r="F24" s="243"/>
      <c r="G24" s="243"/>
      <c r="H24" s="243"/>
      <c r="I24" s="14"/>
      <c r="J24" s="14"/>
      <c r="K24" s="14"/>
      <c r="L24" s="14"/>
      <c r="M24" s="484"/>
      <c r="N24" s="485"/>
      <c r="O24" s="15"/>
      <c r="P24" s="15"/>
      <c r="Q24" s="13" t="str">
        <f t="shared" si="1"/>
        <v/>
      </c>
      <c r="R24" s="267" t="str">
        <f t="shared" si="2"/>
        <v/>
      </c>
      <c r="S24" s="186"/>
      <c r="T24" s="236"/>
      <c r="U24" s="237"/>
      <c r="Y24" s="33" t="str">
        <f t="shared" si="0"/>
        <v>OK</v>
      </c>
      <c r="AB24" s="247" t="e">
        <f>MATCH(E24, Data!$TA$2:$TA$4,0)</f>
        <v>#N/A</v>
      </c>
      <c r="AC24" s="247" t="e">
        <f>MATCH(F24,Data!$TB$1:$TK$1,0)</f>
        <v>#N/A</v>
      </c>
      <c r="AD24" s="247" t="e">
        <f>INDEX(Data!$TB$2:$TK$4,'Cellular Blinds'!AB24,'Cellular Blinds'!AC24)</f>
        <v>#N/A</v>
      </c>
      <c r="AF24" s="33" t="b">
        <f>IF(D24=Data!$UC$2,Data!$UD$1,IF(D24=Data!$UC$3,Data!$UE$1,IF(D24=Data!$UC$4,Data!$UF$1,IF(D24=Data!$UC$5,Data!$UG$1,IF(D24=Data!$UC$6,Data!$UH$1,IF(D24=Data!$UC$7,Data!$UI$1,IF(D24=Data!$UC$8,Data!$UJ$1,IF(D24=Data!$UC$9,Data!$UK$1,IF(D24=Data!$UC$10,Data!$UL$1,IF(D24=Data!$UC$11,Data!$UM$1,IF(D24=Data!$UC$12,Data!$UN$1,IF(D24=Data!$UC$13,Data!$UO$1))))))))))))</f>
        <v>0</v>
      </c>
      <c r="AG24" s="247" t="e">
        <f>MATCH(D24, Data!$UU$2:$UU$13,0)</f>
        <v>#N/A</v>
      </c>
      <c r="AH24" s="247" t="e">
        <f>MATCH(E24,Data!$UV$1:$UX$1,0)</f>
        <v>#N/A</v>
      </c>
      <c r="AI24" s="247" t="e">
        <f>INDEX(Data!$UV$2:$UX$13,'Cellular Blinds'!AG24,'Cellular Blinds'!AH24)</f>
        <v>#N/A</v>
      </c>
      <c r="AK24" s="247" t="e">
        <f>MATCH(E24, Data!$WY$2:$WY$4,0)</f>
        <v>#N/A</v>
      </c>
      <c r="AL24" s="247" t="e">
        <f>MATCH(F24,Data!$WZ$1:$XI$1,0)</f>
        <v>#N/A</v>
      </c>
      <c r="AM24" s="247" t="e">
        <f>INDEX(Data!$WZ$2:$XI$4,'Cellular Blinds'!AK24,'Cellular Blinds'!AL24)</f>
        <v>#N/A</v>
      </c>
      <c r="AN24" s="247" t="b">
        <f>IF(D24=Data!$XL$2,Data!$XM$1,IF(D24=Data!$XL$3,Data!$XN$1,IF(D24=Data!$XL$4,Data!$XO$1,IF(D24=Data!$XL$5,Data!$XP$1,IF(D24=Data!$XL$6,Data!$XQ$1,IF(D24=Data!$XL$7,Data!$XR$1,IF(D24=Data!$XL$8,Data!$XS$1,IF(D24=Data!$XL$9,Data!$XT$1,IF(D24=Data!$XL$10,Data!$XU$1,IF(D24=Data!$XL$11,Data!$XV$1,IF(D24=Data!$XL$12,Data!$XW$1,IF(D24=Data!$XL$13,Data!$XX$1))))))))))))</f>
        <v>0</v>
      </c>
      <c r="AO24" s="247" t="str">
        <f>IF(D24="","",IF(E24=Data!$XZ$2,VLOOKUP(D24,Data!$YB$2:$YC$13,2,FALSE),IF(E24=Data!$XZ$1,VLOOKUP(D24,Data!$YE$2:$YF$13,2,FALSE),IF(E24=Data!$XZ$3,VLOOKUP(D24,Data!$YG$2:$YH$13,2,FALSE)))))</f>
        <v/>
      </c>
      <c r="AP24" s="265" t="str">
        <f t="shared" si="3"/>
        <v/>
      </c>
      <c r="AQ24" s="265" t="str">
        <f t="shared" si="4"/>
        <v/>
      </c>
      <c r="AR24" s="247" t="str">
        <f t="shared" si="5"/>
        <v/>
      </c>
    </row>
    <row r="25" spans="1:44" ht="30" customHeight="1">
      <c r="A25" s="53">
        <v>18</v>
      </c>
      <c r="B25" s="17"/>
      <c r="C25" s="17"/>
      <c r="D25" s="13"/>
      <c r="E25" s="243"/>
      <c r="F25" s="243"/>
      <c r="G25" s="243"/>
      <c r="H25" s="243"/>
      <c r="I25" s="14"/>
      <c r="J25" s="14"/>
      <c r="K25" s="14"/>
      <c r="L25" s="14"/>
      <c r="M25" s="484"/>
      <c r="N25" s="485"/>
      <c r="O25" s="15"/>
      <c r="P25" s="15"/>
      <c r="Q25" s="13" t="str">
        <f t="shared" si="1"/>
        <v/>
      </c>
      <c r="R25" s="267" t="str">
        <f t="shared" si="2"/>
        <v/>
      </c>
      <c r="S25" s="186"/>
      <c r="T25" s="236"/>
      <c r="U25" s="237"/>
      <c r="Y25" s="33" t="str">
        <f t="shared" si="0"/>
        <v>OK</v>
      </c>
      <c r="AB25" s="247" t="e">
        <f>MATCH(E25, Data!$TA$2:$TA$4,0)</f>
        <v>#N/A</v>
      </c>
      <c r="AC25" s="247" t="e">
        <f>MATCH(F25,Data!$TB$1:$TK$1,0)</f>
        <v>#N/A</v>
      </c>
      <c r="AD25" s="247" t="e">
        <f>INDEX(Data!$TB$2:$TK$4,'Cellular Blinds'!AB25,'Cellular Blinds'!AC25)</f>
        <v>#N/A</v>
      </c>
      <c r="AF25" s="33" t="b">
        <f>IF(D25=Data!$UC$2,Data!$UD$1,IF(D25=Data!$UC$3,Data!$UE$1,IF(D25=Data!$UC$4,Data!$UF$1,IF(D25=Data!$UC$5,Data!$UG$1,IF(D25=Data!$UC$6,Data!$UH$1,IF(D25=Data!$UC$7,Data!$UI$1,IF(D25=Data!$UC$8,Data!$UJ$1,IF(D25=Data!$UC$9,Data!$UK$1,IF(D25=Data!$UC$10,Data!$UL$1,IF(D25=Data!$UC$11,Data!$UM$1,IF(D25=Data!$UC$12,Data!$UN$1,IF(D25=Data!$UC$13,Data!$UO$1))))))))))))</f>
        <v>0</v>
      </c>
      <c r="AG25" s="247" t="e">
        <f>MATCH(D25, Data!$UU$2:$UU$13,0)</f>
        <v>#N/A</v>
      </c>
      <c r="AH25" s="247" t="e">
        <f>MATCH(E25,Data!$UV$1:$UX$1,0)</f>
        <v>#N/A</v>
      </c>
      <c r="AI25" s="247" t="e">
        <f>INDEX(Data!$UV$2:$UX$13,'Cellular Blinds'!AG25,'Cellular Blinds'!AH25)</f>
        <v>#N/A</v>
      </c>
      <c r="AK25" s="247" t="e">
        <f>MATCH(E25, Data!$WY$2:$WY$4,0)</f>
        <v>#N/A</v>
      </c>
      <c r="AL25" s="247" t="e">
        <f>MATCH(F25,Data!$WZ$1:$XI$1,0)</f>
        <v>#N/A</v>
      </c>
      <c r="AM25" s="247" t="e">
        <f>INDEX(Data!$WZ$2:$XI$4,'Cellular Blinds'!AK25,'Cellular Blinds'!AL25)</f>
        <v>#N/A</v>
      </c>
      <c r="AN25" s="247" t="b">
        <f>IF(D25=Data!$XL$2,Data!$XM$1,IF(D25=Data!$XL$3,Data!$XN$1,IF(D25=Data!$XL$4,Data!$XO$1,IF(D25=Data!$XL$5,Data!$XP$1,IF(D25=Data!$XL$6,Data!$XQ$1,IF(D25=Data!$XL$7,Data!$XR$1,IF(D25=Data!$XL$8,Data!$XS$1,IF(D25=Data!$XL$9,Data!$XT$1,IF(D25=Data!$XL$10,Data!$XU$1,IF(D25=Data!$XL$11,Data!$XV$1,IF(D25=Data!$XL$12,Data!$XW$1,IF(D25=Data!$XL$13,Data!$XX$1))))))))))))</f>
        <v>0</v>
      </c>
      <c r="AO25" s="247" t="str">
        <f>IF(D25="","",IF(E25=Data!$XZ$2,VLOOKUP(D25,Data!$YB$2:$YC$13,2,FALSE),IF(E25=Data!$XZ$1,VLOOKUP(D25,Data!$YE$2:$YF$13,2,FALSE),IF(E25=Data!$XZ$3,VLOOKUP(D25,Data!$YG$2:$YH$13,2,FALSE)))))</f>
        <v/>
      </c>
      <c r="AP25" s="265" t="str">
        <f t="shared" si="3"/>
        <v/>
      </c>
      <c r="AQ25" s="265" t="str">
        <f t="shared" si="4"/>
        <v/>
      </c>
      <c r="AR25" s="247" t="str">
        <f t="shared" si="5"/>
        <v/>
      </c>
    </row>
    <row r="26" spans="1:44" ht="30" customHeight="1">
      <c r="A26" s="53">
        <v>19</v>
      </c>
      <c r="B26" s="17"/>
      <c r="C26" s="17"/>
      <c r="D26" s="13"/>
      <c r="E26" s="243"/>
      <c r="F26" s="243"/>
      <c r="G26" s="243"/>
      <c r="H26" s="243"/>
      <c r="I26" s="14"/>
      <c r="J26" s="14"/>
      <c r="K26" s="14"/>
      <c r="L26" s="14"/>
      <c r="M26" s="484"/>
      <c r="N26" s="485"/>
      <c r="O26" s="15"/>
      <c r="P26" s="15"/>
      <c r="Q26" s="13" t="str">
        <f t="shared" si="1"/>
        <v/>
      </c>
      <c r="R26" s="267" t="str">
        <f t="shared" si="2"/>
        <v/>
      </c>
      <c r="S26" s="186"/>
      <c r="T26" s="236"/>
      <c r="U26" s="237"/>
      <c r="Y26" s="33" t="str">
        <f t="shared" si="0"/>
        <v>OK</v>
      </c>
      <c r="AB26" s="247" t="e">
        <f>MATCH(E26, Data!$TA$2:$TA$4,0)</f>
        <v>#N/A</v>
      </c>
      <c r="AC26" s="247" t="e">
        <f>MATCH(F26,Data!$TB$1:$TK$1,0)</f>
        <v>#N/A</v>
      </c>
      <c r="AD26" s="247" t="e">
        <f>INDEX(Data!$TB$2:$TK$4,'Cellular Blinds'!AB26,'Cellular Blinds'!AC26)</f>
        <v>#N/A</v>
      </c>
      <c r="AF26" s="33" t="b">
        <f>IF(D26=Data!$UC$2,Data!$UD$1,IF(D26=Data!$UC$3,Data!$UE$1,IF(D26=Data!$UC$4,Data!$UF$1,IF(D26=Data!$UC$5,Data!$UG$1,IF(D26=Data!$UC$6,Data!$UH$1,IF(D26=Data!$UC$7,Data!$UI$1,IF(D26=Data!$UC$8,Data!$UJ$1,IF(D26=Data!$UC$9,Data!$UK$1,IF(D26=Data!$UC$10,Data!$UL$1,IF(D26=Data!$UC$11,Data!$UM$1,IF(D26=Data!$UC$12,Data!$UN$1,IF(D26=Data!$UC$13,Data!$UO$1))))))))))))</f>
        <v>0</v>
      </c>
      <c r="AG26" s="247" t="e">
        <f>MATCH(D26, Data!$UU$2:$UU$13,0)</f>
        <v>#N/A</v>
      </c>
      <c r="AH26" s="247" t="e">
        <f>MATCH(E26,Data!$UV$1:$UX$1,0)</f>
        <v>#N/A</v>
      </c>
      <c r="AI26" s="247" t="e">
        <f>INDEX(Data!$UV$2:$UX$13,'Cellular Blinds'!AG26,'Cellular Blinds'!AH26)</f>
        <v>#N/A</v>
      </c>
      <c r="AK26" s="247" t="e">
        <f>MATCH(E26, Data!$WY$2:$WY$4,0)</f>
        <v>#N/A</v>
      </c>
      <c r="AL26" s="247" t="e">
        <f>MATCH(F26,Data!$WZ$1:$XI$1,0)</f>
        <v>#N/A</v>
      </c>
      <c r="AM26" s="247" t="e">
        <f>INDEX(Data!$WZ$2:$XI$4,'Cellular Blinds'!AK26,'Cellular Blinds'!AL26)</f>
        <v>#N/A</v>
      </c>
      <c r="AN26" s="247" t="b">
        <f>IF(D26=Data!$XL$2,Data!$XM$1,IF(D26=Data!$XL$3,Data!$XN$1,IF(D26=Data!$XL$4,Data!$XO$1,IF(D26=Data!$XL$5,Data!$XP$1,IF(D26=Data!$XL$6,Data!$XQ$1,IF(D26=Data!$XL$7,Data!$XR$1,IF(D26=Data!$XL$8,Data!$XS$1,IF(D26=Data!$XL$9,Data!$XT$1,IF(D26=Data!$XL$10,Data!$XU$1,IF(D26=Data!$XL$11,Data!$XV$1,IF(D26=Data!$XL$12,Data!$XW$1,IF(D26=Data!$XL$13,Data!$XX$1))))))))))))</f>
        <v>0</v>
      </c>
      <c r="AO26" s="247" t="str">
        <f>IF(D26="","",IF(E26=Data!$XZ$2,VLOOKUP(D26,Data!$YB$2:$YC$13,2,FALSE),IF(E26=Data!$XZ$1,VLOOKUP(D26,Data!$YE$2:$YF$13,2,FALSE),IF(E26=Data!$XZ$3,VLOOKUP(D26,Data!$YG$2:$YH$13,2,FALSE)))))</f>
        <v/>
      </c>
      <c r="AP26" s="265" t="str">
        <f t="shared" si="3"/>
        <v/>
      </c>
      <c r="AQ26" s="265" t="str">
        <f t="shared" si="4"/>
        <v/>
      </c>
      <c r="AR26" s="247" t="str">
        <f t="shared" si="5"/>
        <v/>
      </c>
    </row>
    <row r="27" spans="1:44" ht="30" customHeight="1">
      <c r="A27" s="53">
        <v>20</v>
      </c>
      <c r="B27" s="13"/>
      <c r="C27" s="13"/>
      <c r="D27" s="13"/>
      <c r="E27" s="243"/>
      <c r="F27" s="243"/>
      <c r="G27" s="243"/>
      <c r="H27" s="243"/>
      <c r="I27" s="14"/>
      <c r="J27" s="14"/>
      <c r="K27" s="14"/>
      <c r="L27" s="14"/>
      <c r="M27" s="484"/>
      <c r="N27" s="485"/>
      <c r="O27" s="15"/>
      <c r="P27" s="15"/>
      <c r="Q27" s="13" t="str">
        <f t="shared" si="1"/>
        <v/>
      </c>
      <c r="R27" s="267" t="str">
        <f t="shared" si="2"/>
        <v/>
      </c>
      <c r="S27" s="186"/>
      <c r="T27" s="236"/>
      <c r="U27" s="237"/>
      <c r="Y27" s="33" t="str">
        <f t="shared" si="0"/>
        <v>OK</v>
      </c>
      <c r="AB27" s="247" t="e">
        <f>MATCH(E27, Data!$TA$2:$TA$4,0)</f>
        <v>#N/A</v>
      </c>
      <c r="AC27" s="247" t="e">
        <f>MATCH(F27,Data!$TB$1:$TK$1,0)</f>
        <v>#N/A</v>
      </c>
      <c r="AD27" s="247" t="e">
        <f>INDEX(Data!$TB$2:$TK$4,'Cellular Blinds'!AB27,'Cellular Blinds'!AC27)</f>
        <v>#N/A</v>
      </c>
      <c r="AF27" s="33" t="b">
        <f>IF(D27=Data!$UC$2,Data!$UD$1,IF(D27=Data!$UC$3,Data!$UE$1,IF(D27=Data!$UC$4,Data!$UF$1,IF(D27=Data!$UC$5,Data!$UG$1,IF(D27=Data!$UC$6,Data!$UH$1,IF(D27=Data!$UC$7,Data!$UI$1,IF(D27=Data!$UC$8,Data!$UJ$1,IF(D27=Data!$UC$9,Data!$UK$1,IF(D27=Data!$UC$10,Data!$UL$1,IF(D27=Data!$UC$11,Data!$UM$1,IF(D27=Data!$UC$12,Data!$UN$1,IF(D27=Data!$UC$13,Data!$UO$1))))))))))))</f>
        <v>0</v>
      </c>
      <c r="AG27" s="247" t="e">
        <f>MATCH(D27, Data!$UU$2:$UU$13,0)</f>
        <v>#N/A</v>
      </c>
      <c r="AH27" s="247" t="e">
        <f>MATCH(E27,Data!$UV$1:$UX$1,0)</f>
        <v>#N/A</v>
      </c>
      <c r="AI27" s="247" t="e">
        <f>INDEX(Data!$UV$2:$UX$13,'Cellular Blinds'!AG27,'Cellular Blinds'!AH27)</f>
        <v>#N/A</v>
      </c>
      <c r="AK27" s="247" t="e">
        <f>MATCH(E27, Data!$WY$2:$WY$4,0)</f>
        <v>#N/A</v>
      </c>
      <c r="AL27" s="247" t="e">
        <f>MATCH(F27,Data!$WZ$1:$XI$1,0)</f>
        <v>#N/A</v>
      </c>
      <c r="AM27" s="247" t="e">
        <f>INDEX(Data!$WZ$2:$XI$4,'Cellular Blinds'!AK27,'Cellular Blinds'!AL27)</f>
        <v>#N/A</v>
      </c>
      <c r="AN27" s="247" t="b">
        <f>IF(D27=Data!$XL$2,Data!$XM$1,IF(D27=Data!$XL$3,Data!$XN$1,IF(D27=Data!$XL$4,Data!$XO$1,IF(D27=Data!$XL$5,Data!$XP$1,IF(D27=Data!$XL$6,Data!$XQ$1,IF(D27=Data!$XL$7,Data!$XR$1,IF(D27=Data!$XL$8,Data!$XS$1,IF(D27=Data!$XL$9,Data!$XT$1,IF(D27=Data!$XL$10,Data!$XU$1,IF(D27=Data!$XL$11,Data!$XV$1,IF(D27=Data!$XL$12,Data!$XW$1,IF(D27=Data!$XL$13,Data!$XX$1))))))))))))</f>
        <v>0</v>
      </c>
      <c r="AO27" s="247" t="str">
        <f>IF(D27="","",IF(E27=Data!$XZ$2,VLOOKUP(D27,Data!$YB$2:$YC$13,2,FALSE),IF(E27=Data!$XZ$1,VLOOKUP(D27,Data!$YE$2:$YF$13,2,FALSE),IF(E27=Data!$XZ$3,VLOOKUP(D27,Data!$YG$2:$YH$13,2,FALSE)))))</f>
        <v/>
      </c>
      <c r="AP27" s="265" t="str">
        <f t="shared" si="3"/>
        <v/>
      </c>
      <c r="AQ27" s="265" t="str">
        <f t="shared" si="4"/>
        <v/>
      </c>
      <c r="AR27" s="247" t="str">
        <f t="shared" si="5"/>
        <v/>
      </c>
    </row>
    <row r="28" spans="1:44" ht="30" customHeight="1">
      <c r="A28" s="53">
        <v>21</v>
      </c>
      <c r="B28" s="19"/>
      <c r="C28" s="13"/>
      <c r="D28" s="13"/>
      <c r="E28" s="243"/>
      <c r="F28" s="243"/>
      <c r="G28" s="243"/>
      <c r="H28" s="243"/>
      <c r="I28" s="14"/>
      <c r="J28" s="14"/>
      <c r="K28" s="14"/>
      <c r="L28" s="14"/>
      <c r="M28" s="484"/>
      <c r="N28" s="485"/>
      <c r="O28" s="15"/>
      <c r="P28" s="15"/>
      <c r="Q28" s="13" t="str">
        <f t="shared" si="1"/>
        <v/>
      </c>
      <c r="R28" s="267" t="str">
        <f t="shared" si="2"/>
        <v/>
      </c>
      <c r="S28" s="186"/>
      <c r="T28" s="236"/>
      <c r="U28" s="237"/>
      <c r="Y28" s="33" t="str">
        <f t="shared" si="0"/>
        <v>OK</v>
      </c>
      <c r="AB28" s="247" t="e">
        <f>MATCH(E28, Data!$TA$2:$TA$4,0)</f>
        <v>#N/A</v>
      </c>
      <c r="AC28" s="247" t="e">
        <f>MATCH(F28,Data!$TB$1:$TK$1,0)</f>
        <v>#N/A</v>
      </c>
      <c r="AD28" s="247" t="e">
        <f>INDEX(Data!$TB$2:$TK$4,'Cellular Blinds'!AB28,'Cellular Blinds'!AC28)</f>
        <v>#N/A</v>
      </c>
      <c r="AF28" s="33" t="b">
        <f>IF(D28=Data!$UC$2,Data!$UD$1,IF(D28=Data!$UC$3,Data!$UE$1,IF(D28=Data!$UC$4,Data!$UF$1,IF(D28=Data!$UC$5,Data!$UG$1,IF(D28=Data!$UC$6,Data!$UH$1,IF(D28=Data!$UC$7,Data!$UI$1,IF(D28=Data!$UC$8,Data!$UJ$1,IF(D28=Data!$UC$9,Data!$UK$1,IF(D28=Data!$UC$10,Data!$UL$1,IF(D28=Data!$UC$11,Data!$UM$1,IF(D28=Data!$UC$12,Data!$UN$1,IF(D28=Data!$UC$13,Data!$UO$1))))))))))))</f>
        <v>0</v>
      </c>
      <c r="AG28" s="247" t="e">
        <f>MATCH(D28, Data!$UU$2:$UU$13,0)</f>
        <v>#N/A</v>
      </c>
      <c r="AH28" s="247" t="e">
        <f>MATCH(E28,Data!$UV$1:$UX$1,0)</f>
        <v>#N/A</v>
      </c>
      <c r="AI28" s="247" t="e">
        <f>INDEX(Data!$UV$2:$UX$13,'Cellular Blinds'!AG28,'Cellular Blinds'!AH28)</f>
        <v>#N/A</v>
      </c>
      <c r="AK28" s="247" t="e">
        <f>MATCH(E28, Data!$WY$2:$WY$4,0)</f>
        <v>#N/A</v>
      </c>
      <c r="AL28" s="247" t="e">
        <f>MATCH(F28,Data!$WZ$1:$XI$1,0)</f>
        <v>#N/A</v>
      </c>
      <c r="AM28" s="247" t="e">
        <f>INDEX(Data!$WZ$2:$XI$4,'Cellular Blinds'!AK28,'Cellular Blinds'!AL28)</f>
        <v>#N/A</v>
      </c>
      <c r="AN28" s="247" t="b">
        <f>IF(D28=Data!$XL$2,Data!$XM$1,IF(D28=Data!$XL$3,Data!$XN$1,IF(D28=Data!$XL$4,Data!$XO$1,IF(D28=Data!$XL$5,Data!$XP$1,IF(D28=Data!$XL$6,Data!$XQ$1,IF(D28=Data!$XL$7,Data!$XR$1,IF(D28=Data!$XL$8,Data!$XS$1,IF(D28=Data!$XL$9,Data!$XT$1,IF(D28=Data!$XL$10,Data!$XU$1,IF(D28=Data!$XL$11,Data!$XV$1,IF(D28=Data!$XL$12,Data!$XW$1,IF(D28=Data!$XL$13,Data!$XX$1))))))))))))</f>
        <v>0</v>
      </c>
      <c r="AO28" s="247" t="str">
        <f>IF(D28="","",IF(E28=Data!$XZ$2,VLOOKUP(D28,Data!$YB$2:$YC$13,2,FALSE),IF(E28=Data!$XZ$1,VLOOKUP(D28,Data!$YE$2:$YF$13,2,FALSE),IF(E28=Data!$XZ$3,VLOOKUP(D28,Data!$YG$2:$YH$13,2,FALSE)))))</f>
        <v/>
      </c>
      <c r="AP28" s="265" t="str">
        <f t="shared" si="3"/>
        <v/>
      </c>
      <c r="AQ28" s="265" t="str">
        <f t="shared" si="4"/>
        <v/>
      </c>
      <c r="AR28" s="247" t="str">
        <f t="shared" si="5"/>
        <v/>
      </c>
    </row>
    <row r="29" spans="1:44" ht="30" customHeight="1">
      <c r="A29" s="53">
        <v>22</v>
      </c>
      <c r="B29" s="13"/>
      <c r="C29" s="13"/>
      <c r="D29" s="13"/>
      <c r="E29" s="243"/>
      <c r="F29" s="243"/>
      <c r="G29" s="243"/>
      <c r="H29" s="243"/>
      <c r="I29" s="14"/>
      <c r="J29" s="14"/>
      <c r="K29" s="14"/>
      <c r="L29" s="14"/>
      <c r="M29" s="484"/>
      <c r="N29" s="485"/>
      <c r="O29" s="15"/>
      <c r="P29" s="15"/>
      <c r="Q29" s="13" t="str">
        <f t="shared" si="1"/>
        <v/>
      </c>
      <c r="R29" s="267" t="str">
        <f t="shared" si="2"/>
        <v/>
      </c>
      <c r="S29" s="186"/>
      <c r="T29" s="236"/>
      <c r="U29" s="237"/>
      <c r="Y29" s="33" t="str">
        <f t="shared" si="0"/>
        <v>OK</v>
      </c>
      <c r="AB29" s="247" t="e">
        <f>MATCH(E29, Data!$TA$2:$TA$4,0)</f>
        <v>#N/A</v>
      </c>
      <c r="AC29" s="247" t="e">
        <f>MATCH(F29,Data!$TB$1:$TK$1,0)</f>
        <v>#N/A</v>
      </c>
      <c r="AD29" s="247" t="e">
        <f>INDEX(Data!$TB$2:$TK$4,'Cellular Blinds'!AB29,'Cellular Blinds'!AC29)</f>
        <v>#N/A</v>
      </c>
      <c r="AF29" s="33" t="b">
        <f>IF(D29=Data!$UC$2,Data!$UD$1,IF(D29=Data!$UC$3,Data!$UE$1,IF(D29=Data!$UC$4,Data!$UF$1,IF(D29=Data!$UC$5,Data!$UG$1,IF(D29=Data!$UC$6,Data!$UH$1,IF(D29=Data!$UC$7,Data!$UI$1,IF(D29=Data!$UC$8,Data!$UJ$1,IF(D29=Data!$UC$9,Data!$UK$1,IF(D29=Data!$UC$10,Data!$UL$1,IF(D29=Data!$UC$11,Data!$UM$1,IF(D29=Data!$UC$12,Data!$UN$1,IF(D29=Data!$UC$13,Data!$UO$1))))))))))))</f>
        <v>0</v>
      </c>
      <c r="AG29" s="247" t="e">
        <f>MATCH(D29, Data!$UU$2:$UU$13,0)</f>
        <v>#N/A</v>
      </c>
      <c r="AH29" s="247" t="e">
        <f>MATCH(E29,Data!$UV$1:$UX$1,0)</f>
        <v>#N/A</v>
      </c>
      <c r="AI29" s="247" t="e">
        <f>INDEX(Data!$UV$2:$UX$13,'Cellular Blinds'!AG29,'Cellular Blinds'!AH29)</f>
        <v>#N/A</v>
      </c>
      <c r="AK29" s="247" t="e">
        <f>MATCH(E29, Data!$WY$2:$WY$4,0)</f>
        <v>#N/A</v>
      </c>
      <c r="AL29" s="247" t="e">
        <f>MATCH(F29,Data!$WZ$1:$XI$1,0)</f>
        <v>#N/A</v>
      </c>
      <c r="AM29" s="247" t="e">
        <f>INDEX(Data!$WZ$2:$XI$4,'Cellular Blinds'!AK29,'Cellular Blinds'!AL29)</f>
        <v>#N/A</v>
      </c>
      <c r="AN29" s="247" t="b">
        <f>IF(D29=Data!$XL$2,Data!$XM$1,IF(D29=Data!$XL$3,Data!$XN$1,IF(D29=Data!$XL$4,Data!$XO$1,IF(D29=Data!$XL$5,Data!$XP$1,IF(D29=Data!$XL$6,Data!$XQ$1,IF(D29=Data!$XL$7,Data!$XR$1,IF(D29=Data!$XL$8,Data!$XS$1,IF(D29=Data!$XL$9,Data!$XT$1,IF(D29=Data!$XL$10,Data!$XU$1,IF(D29=Data!$XL$11,Data!$XV$1,IF(D29=Data!$XL$12,Data!$XW$1,IF(D29=Data!$XL$13,Data!$XX$1))))))))))))</f>
        <v>0</v>
      </c>
      <c r="AO29" s="247" t="str">
        <f>IF(D29="","",IF(E29=Data!$XZ$2,VLOOKUP(D29,Data!$YB$2:$YC$13,2,FALSE),IF(E29=Data!$XZ$1,VLOOKUP(D29,Data!$YE$2:$YF$13,2,FALSE),IF(E29=Data!$XZ$3,VLOOKUP(D29,Data!$YG$2:$YH$13,2,FALSE)))))</f>
        <v/>
      </c>
      <c r="AP29" s="265" t="str">
        <f t="shared" si="3"/>
        <v/>
      </c>
      <c r="AQ29" s="265" t="str">
        <f t="shared" si="4"/>
        <v/>
      </c>
      <c r="AR29" s="247" t="str">
        <f t="shared" si="5"/>
        <v/>
      </c>
    </row>
    <row r="30" spans="1:44" ht="30" customHeight="1">
      <c r="A30" s="53">
        <v>23</v>
      </c>
      <c r="B30" s="13"/>
      <c r="C30" s="13"/>
      <c r="D30" s="13"/>
      <c r="E30" s="243"/>
      <c r="F30" s="243"/>
      <c r="G30" s="243"/>
      <c r="H30" s="243"/>
      <c r="I30" s="14"/>
      <c r="J30" s="14"/>
      <c r="K30" s="14"/>
      <c r="L30" s="14"/>
      <c r="M30" s="484"/>
      <c r="N30" s="485"/>
      <c r="O30" s="15"/>
      <c r="P30" s="15"/>
      <c r="Q30" s="13" t="str">
        <f t="shared" si="1"/>
        <v/>
      </c>
      <c r="R30" s="267" t="str">
        <f t="shared" si="2"/>
        <v/>
      </c>
      <c r="S30" s="186"/>
      <c r="T30" s="236"/>
      <c r="U30" s="237"/>
      <c r="Y30" s="33" t="str">
        <f t="shared" si="0"/>
        <v>OK</v>
      </c>
      <c r="AB30" s="247" t="e">
        <f>MATCH(E30, Data!$TA$2:$TA$4,0)</f>
        <v>#N/A</v>
      </c>
      <c r="AC30" s="247" t="e">
        <f>MATCH(F30,Data!$TB$1:$TK$1,0)</f>
        <v>#N/A</v>
      </c>
      <c r="AD30" s="247" t="e">
        <f>INDEX(Data!$TB$2:$TK$4,'Cellular Blinds'!AB30,'Cellular Blinds'!AC30)</f>
        <v>#N/A</v>
      </c>
      <c r="AF30" s="33" t="b">
        <f>IF(D30=Data!$UC$2,Data!$UD$1,IF(D30=Data!$UC$3,Data!$UE$1,IF(D30=Data!$UC$4,Data!$UF$1,IF(D30=Data!$UC$5,Data!$UG$1,IF(D30=Data!$UC$6,Data!$UH$1,IF(D30=Data!$UC$7,Data!$UI$1,IF(D30=Data!$UC$8,Data!$UJ$1,IF(D30=Data!$UC$9,Data!$UK$1,IF(D30=Data!$UC$10,Data!$UL$1,IF(D30=Data!$UC$11,Data!$UM$1,IF(D30=Data!$UC$12,Data!$UN$1,IF(D30=Data!$UC$13,Data!$UO$1))))))))))))</f>
        <v>0</v>
      </c>
      <c r="AG30" s="247" t="e">
        <f>MATCH(D30, Data!$UU$2:$UU$13,0)</f>
        <v>#N/A</v>
      </c>
      <c r="AH30" s="247" t="e">
        <f>MATCH(E30,Data!$UV$1:$UX$1,0)</f>
        <v>#N/A</v>
      </c>
      <c r="AI30" s="247" t="e">
        <f>INDEX(Data!$UV$2:$UX$13,'Cellular Blinds'!AG30,'Cellular Blinds'!AH30)</f>
        <v>#N/A</v>
      </c>
      <c r="AK30" s="247" t="e">
        <f>MATCH(E30, Data!$WY$2:$WY$4,0)</f>
        <v>#N/A</v>
      </c>
      <c r="AL30" s="247" t="e">
        <f>MATCH(F30,Data!$WZ$1:$XI$1,0)</f>
        <v>#N/A</v>
      </c>
      <c r="AM30" s="247" t="e">
        <f>INDEX(Data!$WZ$2:$XI$4,'Cellular Blinds'!AK30,'Cellular Blinds'!AL30)</f>
        <v>#N/A</v>
      </c>
      <c r="AN30" s="247" t="b">
        <f>IF(D30=Data!$XL$2,Data!$XM$1,IF(D30=Data!$XL$3,Data!$XN$1,IF(D30=Data!$XL$4,Data!$XO$1,IF(D30=Data!$XL$5,Data!$XP$1,IF(D30=Data!$XL$6,Data!$XQ$1,IF(D30=Data!$XL$7,Data!$XR$1,IF(D30=Data!$XL$8,Data!$XS$1,IF(D30=Data!$XL$9,Data!$XT$1,IF(D30=Data!$XL$10,Data!$XU$1,IF(D30=Data!$XL$11,Data!$XV$1,IF(D30=Data!$XL$12,Data!$XW$1,IF(D30=Data!$XL$13,Data!$XX$1))))))))))))</f>
        <v>0</v>
      </c>
      <c r="AO30" s="247" t="str">
        <f>IF(D30="","",IF(E30=Data!$XZ$2,VLOOKUP(D30,Data!$YB$2:$YC$13,2,FALSE),IF(E30=Data!$XZ$1,VLOOKUP(D30,Data!$YE$2:$YF$13,2,FALSE),IF(E30=Data!$XZ$3,VLOOKUP(D30,Data!$YG$2:$YH$13,2,FALSE)))))</f>
        <v/>
      </c>
      <c r="AP30" s="265" t="str">
        <f t="shared" si="3"/>
        <v/>
      </c>
      <c r="AQ30" s="265" t="str">
        <f t="shared" si="4"/>
        <v/>
      </c>
      <c r="AR30" s="247" t="str">
        <f t="shared" si="5"/>
        <v/>
      </c>
    </row>
    <row r="31" spans="1:44" ht="30" customHeight="1">
      <c r="A31" s="53">
        <v>24</v>
      </c>
      <c r="B31" s="13"/>
      <c r="C31" s="13"/>
      <c r="D31" s="13"/>
      <c r="E31" s="243"/>
      <c r="F31" s="243"/>
      <c r="G31" s="243"/>
      <c r="H31" s="243"/>
      <c r="I31" s="14"/>
      <c r="J31" s="14"/>
      <c r="K31" s="14"/>
      <c r="L31" s="14"/>
      <c r="M31" s="484"/>
      <c r="N31" s="485"/>
      <c r="O31" s="15"/>
      <c r="P31" s="15"/>
      <c r="Q31" s="13" t="str">
        <f t="shared" si="1"/>
        <v/>
      </c>
      <c r="R31" s="267" t="str">
        <f t="shared" si="2"/>
        <v/>
      </c>
      <c r="S31" s="186"/>
      <c r="T31" s="236"/>
      <c r="U31" s="237"/>
      <c r="Y31" s="33" t="str">
        <f t="shared" si="0"/>
        <v>OK</v>
      </c>
      <c r="AB31" s="247" t="e">
        <f>MATCH(E31, Data!$TA$2:$TA$4,0)</f>
        <v>#N/A</v>
      </c>
      <c r="AC31" s="247" t="e">
        <f>MATCH(F31,Data!$TB$1:$TK$1,0)</f>
        <v>#N/A</v>
      </c>
      <c r="AD31" s="247" t="e">
        <f>INDEX(Data!$TB$2:$TK$4,'Cellular Blinds'!AB31,'Cellular Blinds'!AC31)</f>
        <v>#N/A</v>
      </c>
      <c r="AF31" s="33" t="b">
        <f>IF(D31=Data!$UC$2,Data!$UD$1,IF(D31=Data!$UC$3,Data!$UE$1,IF(D31=Data!$UC$4,Data!$UF$1,IF(D31=Data!$UC$5,Data!$UG$1,IF(D31=Data!$UC$6,Data!$UH$1,IF(D31=Data!$UC$7,Data!$UI$1,IF(D31=Data!$UC$8,Data!$UJ$1,IF(D31=Data!$UC$9,Data!$UK$1,IF(D31=Data!$UC$10,Data!$UL$1,IF(D31=Data!$UC$11,Data!$UM$1,IF(D31=Data!$UC$12,Data!$UN$1,IF(D31=Data!$UC$13,Data!$UO$1))))))))))))</f>
        <v>0</v>
      </c>
      <c r="AG31" s="247" t="e">
        <f>MATCH(D31, Data!$UU$2:$UU$13,0)</f>
        <v>#N/A</v>
      </c>
      <c r="AH31" s="247" t="e">
        <f>MATCH(E31,Data!$UV$1:$UX$1,0)</f>
        <v>#N/A</v>
      </c>
      <c r="AI31" s="247" t="e">
        <f>INDEX(Data!$UV$2:$UX$13,'Cellular Blinds'!AG31,'Cellular Blinds'!AH31)</f>
        <v>#N/A</v>
      </c>
      <c r="AK31" s="247" t="e">
        <f>MATCH(E31, Data!$WY$2:$WY$4,0)</f>
        <v>#N/A</v>
      </c>
      <c r="AL31" s="247" t="e">
        <f>MATCH(F31,Data!$WZ$1:$XI$1,0)</f>
        <v>#N/A</v>
      </c>
      <c r="AM31" s="247" t="e">
        <f>INDEX(Data!$WZ$2:$XI$4,'Cellular Blinds'!AK31,'Cellular Blinds'!AL31)</f>
        <v>#N/A</v>
      </c>
      <c r="AN31" s="247" t="b">
        <f>IF(D31=Data!$XL$2,Data!$XM$1,IF(D31=Data!$XL$3,Data!$XN$1,IF(D31=Data!$XL$4,Data!$XO$1,IF(D31=Data!$XL$5,Data!$XP$1,IF(D31=Data!$XL$6,Data!$XQ$1,IF(D31=Data!$XL$7,Data!$XR$1,IF(D31=Data!$XL$8,Data!$XS$1,IF(D31=Data!$XL$9,Data!$XT$1,IF(D31=Data!$XL$10,Data!$XU$1,IF(D31=Data!$XL$11,Data!$XV$1,IF(D31=Data!$XL$12,Data!$XW$1,IF(D31=Data!$XL$13,Data!$XX$1))))))))))))</f>
        <v>0</v>
      </c>
      <c r="AO31" s="247" t="str">
        <f>IF(D31="","",IF(E31=Data!$XZ$2,VLOOKUP(D31,Data!$YB$2:$YC$13,2,FALSE),IF(E31=Data!$XZ$1,VLOOKUP(D31,Data!$YE$2:$YF$13,2,FALSE),IF(E31=Data!$XZ$3,VLOOKUP(D31,Data!$YG$2:$YH$13,2,FALSE)))))</f>
        <v/>
      </c>
      <c r="AP31" s="265" t="str">
        <f t="shared" si="3"/>
        <v/>
      </c>
      <c r="AQ31" s="265" t="str">
        <f t="shared" si="4"/>
        <v/>
      </c>
      <c r="AR31" s="247" t="str">
        <f t="shared" si="5"/>
        <v/>
      </c>
    </row>
    <row r="32" spans="1:44" ht="30" customHeight="1">
      <c r="A32" s="53">
        <v>25</v>
      </c>
      <c r="B32" s="13"/>
      <c r="C32" s="13"/>
      <c r="D32" s="13"/>
      <c r="E32" s="243"/>
      <c r="F32" s="243"/>
      <c r="G32" s="243"/>
      <c r="H32" s="243"/>
      <c r="I32" s="14"/>
      <c r="J32" s="14"/>
      <c r="K32" s="14"/>
      <c r="L32" s="14"/>
      <c r="M32" s="484"/>
      <c r="N32" s="485"/>
      <c r="O32" s="15"/>
      <c r="P32" s="15"/>
      <c r="Q32" s="13" t="str">
        <f t="shared" si="1"/>
        <v/>
      </c>
      <c r="R32" s="267" t="str">
        <f t="shared" si="2"/>
        <v/>
      </c>
      <c r="S32" s="186"/>
      <c r="T32" s="236"/>
      <c r="U32" s="237"/>
      <c r="Y32" s="33" t="str">
        <f t="shared" si="0"/>
        <v>OK</v>
      </c>
      <c r="AB32" s="247" t="e">
        <f>MATCH(E32, Data!$TA$2:$TA$4,0)</f>
        <v>#N/A</v>
      </c>
      <c r="AC32" s="247" t="e">
        <f>MATCH(F32,Data!$TB$1:$TK$1,0)</f>
        <v>#N/A</v>
      </c>
      <c r="AD32" s="247" t="e">
        <f>INDEX(Data!$TB$2:$TK$4,'Cellular Blinds'!AB32,'Cellular Blinds'!AC32)</f>
        <v>#N/A</v>
      </c>
      <c r="AF32" s="33" t="b">
        <f>IF(D32=Data!$UC$2,Data!$UD$1,IF(D32=Data!$UC$3,Data!$UE$1,IF(D32=Data!$UC$4,Data!$UF$1,IF(D32=Data!$UC$5,Data!$UG$1,IF(D32=Data!$UC$6,Data!$UH$1,IF(D32=Data!$UC$7,Data!$UI$1,IF(D32=Data!$UC$8,Data!$UJ$1,IF(D32=Data!$UC$9,Data!$UK$1,IF(D32=Data!$UC$10,Data!$UL$1,IF(D32=Data!$UC$11,Data!$UM$1,IF(D32=Data!$UC$12,Data!$UN$1,IF(D32=Data!$UC$13,Data!$UO$1))))))))))))</f>
        <v>0</v>
      </c>
      <c r="AG32" s="247" t="e">
        <f>MATCH(D32, Data!$UU$2:$UU$13,0)</f>
        <v>#N/A</v>
      </c>
      <c r="AH32" s="247" t="e">
        <f>MATCH(E32,Data!$UV$1:$UX$1,0)</f>
        <v>#N/A</v>
      </c>
      <c r="AI32" s="247" t="e">
        <f>INDEX(Data!$UV$2:$UX$13,'Cellular Blinds'!AG32,'Cellular Blinds'!AH32)</f>
        <v>#N/A</v>
      </c>
      <c r="AK32" s="247" t="e">
        <f>MATCH(E32, Data!$WY$2:$WY$4,0)</f>
        <v>#N/A</v>
      </c>
      <c r="AL32" s="247" t="e">
        <f>MATCH(F32,Data!$WZ$1:$XI$1,0)</f>
        <v>#N/A</v>
      </c>
      <c r="AM32" s="247" t="e">
        <f>INDEX(Data!$WZ$2:$XI$4,'Cellular Blinds'!AK32,'Cellular Blinds'!AL32)</f>
        <v>#N/A</v>
      </c>
      <c r="AN32" s="247" t="b">
        <f>IF(D32=Data!$XL$2,Data!$XM$1,IF(D32=Data!$XL$3,Data!$XN$1,IF(D32=Data!$XL$4,Data!$XO$1,IF(D32=Data!$XL$5,Data!$XP$1,IF(D32=Data!$XL$6,Data!$XQ$1,IF(D32=Data!$XL$7,Data!$XR$1,IF(D32=Data!$XL$8,Data!$XS$1,IF(D32=Data!$XL$9,Data!$XT$1,IF(D32=Data!$XL$10,Data!$XU$1,IF(D32=Data!$XL$11,Data!$XV$1,IF(D32=Data!$XL$12,Data!$XW$1,IF(D32=Data!$XL$13,Data!$XX$1))))))))))))</f>
        <v>0</v>
      </c>
      <c r="AO32" s="247" t="str">
        <f>IF(D32="","",IF(E32=Data!$XZ$2,VLOOKUP(D32,Data!$YB$2:$YC$13,2,FALSE),IF(E32=Data!$XZ$1,VLOOKUP(D32,Data!$YE$2:$YF$13,2,FALSE),IF(E32=Data!$XZ$3,VLOOKUP(D32,Data!$YG$2:$YH$13,2,FALSE)))))</f>
        <v/>
      </c>
      <c r="AP32" s="265" t="str">
        <f t="shared" si="3"/>
        <v/>
      </c>
      <c r="AQ32" s="265" t="str">
        <f t="shared" si="4"/>
        <v/>
      </c>
      <c r="AR32" s="247" t="str">
        <f t="shared" si="5"/>
        <v/>
      </c>
    </row>
    <row r="33" spans="1:44" ht="30" customHeight="1">
      <c r="A33" s="53">
        <v>26</v>
      </c>
      <c r="B33" s="13"/>
      <c r="C33" s="13"/>
      <c r="D33" s="13"/>
      <c r="E33" s="243"/>
      <c r="F33" s="243"/>
      <c r="G33" s="243"/>
      <c r="H33" s="243"/>
      <c r="I33" s="14"/>
      <c r="J33" s="14"/>
      <c r="K33" s="14"/>
      <c r="L33" s="14"/>
      <c r="M33" s="484"/>
      <c r="N33" s="485"/>
      <c r="O33" s="15"/>
      <c r="P33" s="15"/>
      <c r="Q33" s="13" t="str">
        <f t="shared" si="1"/>
        <v/>
      </c>
      <c r="R33" s="267" t="str">
        <f t="shared" si="2"/>
        <v/>
      </c>
      <c r="S33" s="186"/>
      <c r="T33" s="236"/>
      <c r="U33" s="237"/>
      <c r="Y33" s="33" t="str">
        <f t="shared" si="0"/>
        <v>OK</v>
      </c>
      <c r="AB33" s="247" t="e">
        <f>MATCH(E33, Data!$TA$2:$TA$4,0)</f>
        <v>#N/A</v>
      </c>
      <c r="AC33" s="247" t="e">
        <f>MATCH(F33,Data!$TB$1:$TK$1,0)</f>
        <v>#N/A</v>
      </c>
      <c r="AD33" s="247" t="e">
        <f>INDEX(Data!$TB$2:$TK$4,'Cellular Blinds'!AB33,'Cellular Blinds'!AC33)</f>
        <v>#N/A</v>
      </c>
      <c r="AF33" s="33" t="b">
        <f>IF(D33=Data!$UC$2,Data!$UD$1,IF(D33=Data!$UC$3,Data!$UE$1,IF(D33=Data!$UC$4,Data!$UF$1,IF(D33=Data!$UC$5,Data!$UG$1,IF(D33=Data!$UC$6,Data!$UH$1,IF(D33=Data!$UC$7,Data!$UI$1,IF(D33=Data!$UC$8,Data!$UJ$1,IF(D33=Data!$UC$9,Data!$UK$1,IF(D33=Data!$UC$10,Data!$UL$1,IF(D33=Data!$UC$11,Data!$UM$1,IF(D33=Data!$UC$12,Data!$UN$1,IF(D33=Data!$UC$13,Data!$UO$1))))))))))))</f>
        <v>0</v>
      </c>
      <c r="AG33" s="247" t="e">
        <f>MATCH(D33, Data!$UU$2:$UU$13,0)</f>
        <v>#N/A</v>
      </c>
      <c r="AH33" s="247" t="e">
        <f>MATCH(E33,Data!$UV$1:$UX$1,0)</f>
        <v>#N/A</v>
      </c>
      <c r="AI33" s="247" t="e">
        <f>INDEX(Data!$UV$2:$UX$13,'Cellular Blinds'!AG33,'Cellular Blinds'!AH33)</f>
        <v>#N/A</v>
      </c>
      <c r="AK33" s="247" t="e">
        <f>MATCH(E33, Data!$WY$2:$WY$4,0)</f>
        <v>#N/A</v>
      </c>
      <c r="AL33" s="247" t="e">
        <f>MATCH(F33,Data!$WZ$1:$XI$1,0)</f>
        <v>#N/A</v>
      </c>
      <c r="AM33" s="247" t="e">
        <f>INDEX(Data!$WZ$2:$XI$4,'Cellular Blinds'!AK33,'Cellular Blinds'!AL33)</f>
        <v>#N/A</v>
      </c>
      <c r="AN33" s="247" t="b">
        <f>IF(D33=Data!$XL$2,Data!$XM$1,IF(D33=Data!$XL$3,Data!$XN$1,IF(D33=Data!$XL$4,Data!$XO$1,IF(D33=Data!$XL$5,Data!$XP$1,IF(D33=Data!$XL$6,Data!$XQ$1,IF(D33=Data!$XL$7,Data!$XR$1,IF(D33=Data!$XL$8,Data!$XS$1,IF(D33=Data!$XL$9,Data!$XT$1,IF(D33=Data!$XL$10,Data!$XU$1,IF(D33=Data!$XL$11,Data!$XV$1,IF(D33=Data!$XL$12,Data!$XW$1,IF(D33=Data!$XL$13,Data!$XX$1))))))))))))</f>
        <v>0</v>
      </c>
      <c r="AO33" s="247" t="str">
        <f>IF(D33="","",IF(E33=Data!$XZ$2,VLOOKUP(D33,Data!$YB$2:$YC$13,2,FALSE),IF(E33=Data!$XZ$1,VLOOKUP(D33,Data!$YE$2:$YF$13,2,FALSE),IF(E33=Data!$XZ$3,VLOOKUP(D33,Data!$YG$2:$YH$13,2,FALSE)))))</f>
        <v/>
      </c>
      <c r="AP33" s="265" t="str">
        <f t="shared" si="3"/>
        <v/>
      </c>
      <c r="AQ33" s="265" t="str">
        <f t="shared" si="4"/>
        <v/>
      </c>
      <c r="AR33" s="247" t="str">
        <f t="shared" si="5"/>
        <v/>
      </c>
    </row>
    <row r="34" spans="1:44" ht="30" customHeight="1">
      <c r="A34" s="53">
        <v>27</v>
      </c>
      <c r="B34" s="19"/>
      <c r="C34" s="13"/>
      <c r="D34" s="13"/>
      <c r="E34" s="243"/>
      <c r="F34" s="243"/>
      <c r="G34" s="243"/>
      <c r="H34" s="243"/>
      <c r="I34" s="14"/>
      <c r="J34" s="14"/>
      <c r="K34" s="14"/>
      <c r="L34" s="14"/>
      <c r="M34" s="484"/>
      <c r="N34" s="485"/>
      <c r="O34" s="15"/>
      <c r="P34" s="15"/>
      <c r="Q34" s="13" t="str">
        <f t="shared" si="1"/>
        <v/>
      </c>
      <c r="R34" s="267" t="str">
        <f t="shared" si="2"/>
        <v/>
      </c>
      <c r="S34" s="186"/>
      <c r="T34" s="236"/>
      <c r="U34" s="237"/>
      <c r="Y34" s="33" t="str">
        <f t="shared" si="0"/>
        <v>OK</v>
      </c>
      <c r="AB34" s="247" t="e">
        <f>MATCH(E34, Data!$TA$2:$TA$4,0)</f>
        <v>#N/A</v>
      </c>
      <c r="AC34" s="247" t="e">
        <f>MATCH(F34,Data!$TB$1:$TK$1,0)</f>
        <v>#N/A</v>
      </c>
      <c r="AD34" s="247" t="e">
        <f>INDEX(Data!$TB$2:$TK$4,'Cellular Blinds'!AB34,'Cellular Blinds'!AC34)</f>
        <v>#N/A</v>
      </c>
      <c r="AF34" s="33" t="b">
        <f>IF(D34=Data!$UC$2,Data!$UD$1,IF(D34=Data!$UC$3,Data!$UE$1,IF(D34=Data!$UC$4,Data!$UF$1,IF(D34=Data!$UC$5,Data!$UG$1,IF(D34=Data!$UC$6,Data!$UH$1,IF(D34=Data!$UC$7,Data!$UI$1,IF(D34=Data!$UC$8,Data!$UJ$1,IF(D34=Data!$UC$9,Data!$UK$1,IF(D34=Data!$UC$10,Data!$UL$1,IF(D34=Data!$UC$11,Data!$UM$1,IF(D34=Data!$UC$12,Data!$UN$1,IF(D34=Data!$UC$13,Data!$UO$1))))))))))))</f>
        <v>0</v>
      </c>
      <c r="AG34" s="247" t="e">
        <f>MATCH(D34, Data!$UU$2:$UU$13,0)</f>
        <v>#N/A</v>
      </c>
      <c r="AH34" s="247" t="e">
        <f>MATCH(E34,Data!$UV$1:$UX$1,0)</f>
        <v>#N/A</v>
      </c>
      <c r="AI34" s="247" t="e">
        <f>INDEX(Data!$UV$2:$UX$13,'Cellular Blinds'!AG34,'Cellular Blinds'!AH34)</f>
        <v>#N/A</v>
      </c>
      <c r="AK34" s="247" t="e">
        <f>MATCH(E34, Data!$WY$2:$WY$4,0)</f>
        <v>#N/A</v>
      </c>
      <c r="AL34" s="247" t="e">
        <f>MATCH(F34,Data!$WZ$1:$XI$1,0)</f>
        <v>#N/A</v>
      </c>
      <c r="AM34" s="247" t="e">
        <f>INDEX(Data!$WZ$2:$XI$4,'Cellular Blinds'!AK34,'Cellular Blinds'!AL34)</f>
        <v>#N/A</v>
      </c>
      <c r="AN34" s="247" t="b">
        <f>IF(D34=Data!$XL$2,Data!$XM$1,IF(D34=Data!$XL$3,Data!$XN$1,IF(D34=Data!$XL$4,Data!$XO$1,IF(D34=Data!$XL$5,Data!$XP$1,IF(D34=Data!$XL$6,Data!$XQ$1,IF(D34=Data!$XL$7,Data!$XR$1,IF(D34=Data!$XL$8,Data!$XS$1,IF(D34=Data!$XL$9,Data!$XT$1,IF(D34=Data!$XL$10,Data!$XU$1,IF(D34=Data!$XL$11,Data!$XV$1,IF(D34=Data!$XL$12,Data!$XW$1,IF(D34=Data!$XL$13,Data!$XX$1))))))))))))</f>
        <v>0</v>
      </c>
      <c r="AO34" s="247" t="str">
        <f>IF(D34="","",IF(E34=Data!$XZ$2,VLOOKUP(D34,Data!$YB$2:$YC$13,2,FALSE),IF(E34=Data!$XZ$1,VLOOKUP(D34,Data!$YE$2:$YF$13,2,FALSE),IF(E34=Data!$XZ$3,VLOOKUP(D34,Data!$YG$2:$YH$13,2,FALSE)))))</f>
        <v/>
      </c>
      <c r="AP34" s="265" t="str">
        <f t="shared" si="3"/>
        <v/>
      </c>
      <c r="AQ34" s="265" t="str">
        <f t="shared" si="4"/>
        <v/>
      </c>
      <c r="AR34" s="247" t="str">
        <f t="shared" si="5"/>
        <v/>
      </c>
    </row>
    <row r="35" spans="1:44" ht="30" customHeight="1">
      <c r="A35" s="53">
        <v>28</v>
      </c>
      <c r="B35" s="13"/>
      <c r="C35" s="13"/>
      <c r="D35" s="13"/>
      <c r="E35" s="243"/>
      <c r="F35" s="243"/>
      <c r="G35" s="243"/>
      <c r="H35" s="243"/>
      <c r="I35" s="14"/>
      <c r="J35" s="14"/>
      <c r="K35" s="14"/>
      <c r="L35" s="14"/>
      <c r="M35" s="484"/>
      <c r="N35" s="485"/>
      <c r="O35" s="15"/>
      <c r="P35" s="15"/>
      <c r="Q35" s="13" t="str">
        <f t="shared" si="1"/>
        <v/>
      </c>
      <c r="R35" s="267" t="str">
        <f t="shared" si="2"/>
        <v/>
      </c>
      <c r="S35" s="186"/>
      <c r="T35" s="236"/>
      <c r="U35" s="237"/>
      <c r="Y35" s="33" t="str">
        <f t="shared" si="0"/>
        <v>OK</v>
      </c>
      <c r="AB35" s="247" t="e">
        <f>MATCH(E35, Data!$TA$2:$TA$4,0)</f>
        <v>#N/A</v>
      </c>
      <c r="AC35" s="247" t="e">
        <f>MATCH(F35,Data!$TB$1:$TK$1,0)</f>
        <v>#N/A</v>
      </c>
      <c r="AD35" s="247" t="e">
        <f>INDEX(Data!$TB$2:$TK$4,'Cellular Blinds'!AB35,'Cellular Blinds'!AC35)</f>
        <v>#N/A</v>
      </c>
      <c r="AF35" s="33" t="b">
        <f>IF(D35=Data!$UC$2,Data!$UD$1,IF(D35=Data!$UC$3,Data!$UE$1,IF(D35=Data!$UC$4,Data!$UF$1,IF(D35=Data!$UC$5,Data!$UG$1,IF(D35=Data!$UC$6,Data!$UH$1,IF(D35=Data!$UC$7,Data!$UI$1,IF(D35=Data!$UC$8,Data!$UJ$1,IF(D35=Data!$UC$9,Data!$UK$1,IF(D35=Data!$UC$10,Data!$UL$1,IF(D35=Data!$UC$11,Data!$UM$1,IF(D35=Data!$UC$12,Data!$UN$1,IF(D35=Data!$UC$13,Data!$UO$1))))))))))))</f>
        <v>0</v>
      </c>
      <c r="AG35" s="247" t="e">
        <f>MATCH(D35, Data!$UU$2:$UU$13,0)</f>
        <v>#N/A</v>
      </c>
      <c r="AH35" s="247" t="e">
        <f>MATCH(E35,Data!$UV$1:$UX$1,0)</f>
        <v>#N/A</v>
      </c>
      <c r="AI35" s="247" t="e">
        <f>INDEX(Data!$UV$2:$UX$13,'Cellular Blinds'!AG35,'Cellular Blinds'!AH35)</f>
        <v>#N/A</v>
      </c>
      <c r="AK35" s="247" t="e">
        <f>MATCH(E35, Data!$WY$2:$WY$4,0)</f>
        <v>#N/A</v>
      </c>
      <c r="AL35" s="247" t="e">
        <f>MATCH(F35,Data!$WZ$1:$XI$1,0)</f>
        <v>#N/A</v>
      </c>
      <c r="AM35" s="247" t="e">
        <f>INDEX(Data!$WZ$2:$XI$4,'Cellular Blinds'!AK35,'Cellular Blinds'!AL35)</f>
        <v>#N/A</v>
      </c>
      <c r="AN35" s="247" t="b">
        <f>IF(D35=Data!$XL$2,Data!$XM$1,IF(D35=Data!$XL$3,Data!$XN$1,IF(D35=Data!$XL$4,Data!$XO$1,IF(D35=Data!$XL$5,Data!$XP$1,IF(D35=Data!$XL$6,Data!$XQ$1,IF(D35=Data!$XL$7,Data!$XR$1,IF(D35=Data!$XL$8,Data!$XS$1,IF(D35=Data!$XL$9,Data!$XT$1,IF(D35=Data!$XL$10,Data!$XU$1,IF(D35=Data!$XL$11,Data!$XV$1,IF(D35=Data!$XL$12,Data!$XW$1,IF(D35=Data!$XL$13,Data!$XX$1))))))))))))</f>
        <v>0</v>
      </c>
      <c r="AO35" s="247" t="str">
        <f>IF(D35="","",IF(E35=Data!$XZ$2,VLOOKUP(D35,Data!$YB$2:$YC$13,2,FALSE),IF(E35=Data!$XZ$1,VLOOKUP(D35,Data!$YE$2:$YF$13,2,FALSE),IF(E35=Data!$XZ$3,VLOOKUP(D35,Data!$YG$2:$YH$13,2,FALSE)))))</f>
        <v/>
      </c>
      <c r="AP35" s="265" t="str">
        <f t="shared" si="3"/>
        <v/>
      </c>
      <c r="AQ35" s="265" t="str">
        <f t="shared" si="4"/>
        <v/>
      </c>
      <c r="AR35" s="247" t="str">
        <f t="shared" si="5"/>
        <v/>
      </c>
    </row>
    <row r="36" spans="1:44" ht="30" customHeight="1">
      <c r="A36" s="53">
        <v>29</v>
      </c>
      <c r="B36" s="13"/>
      <c r="C36" s="13"/>
      <c r="D36" s="13"/>
      <c r="E36" s="243"/>
      <c r="F36" s="243"/>
      <c r="G36" s="243"/>
      <c r="H36" s="243"/>
      <c r="I36" s="14"/>
      <c r="J36" s="14"/>
      <c r="K36" s="14"/>
      <c r="L36" s="14"/>
      <c r="M36" s="484"/>
      <c r="N36" s="485"/>
      <c r="O36" s="15"/>
      <c r="P36" s="15"/>
      <c r="Q36" s="13" t="str">
        <f t="shared" si="1"/>
        <v/>
      </c>
      <c r="R36" s="267" t="str">
        <f t="shared" si="2"/>
        <v/>
      </c>
      <c r="S36" s="186"/>
      <c r="T36" s="236"/>
      <c r="U36" s="237"/>
      <c r="Y36" s="33" t="str">
        <f t="shared" si="0"/>
        <v>OK</v>
      </c>
      <c r="AB36" s="247" t="e">
        <f>MATCH(E36, Data!$TA$2:$TA$4,0)</f>
        <v>#N/A</v>
      </c>
      <c r="AC36" s="247" t="e">
        <f>MATCH(F36,Data!$TB$1:$TK$1,0)</f>
        <v>#N/A</v>
      </c>
      <c r="AD36" s="247" t="e">
        <f>INDEX(Data!$TB$2:$TK$4,'Cellular Blinds'!AB36,'Cellular Blinds'!AC36)</f>
        <v>#N/A</v>
      </c>
      <c r="AF36" s="33" t="b">
        <f>IF(D36=Data!$UC$2,Data!$UD$1,IF(D36=Data!$UC$3,Data!$UE$1,IF(D36=Data!$UC$4,Data!$UF$1,IF(D36=Data!$UC$5,Data!$UG$1,IF(D36=Data!$UC$6,Data!$UH$1,IF(D36=Data!$UC$7,Data!$UI$1,IF(D36=Data!$UC$8,Data!$UJ$1,IF(D36=Data!$UC$9,Data!$UK$1,IF(D36=Data!$UC$10,Data!$UL$1,IF(D36=Data!$UC$11,Data!$UM$1,IF(D36=Data!$UC$12,Data!$UN$1,IF(D36=Data!$UC$13,Data!$UO$1))))))))))))</f>
        <v>0</v>
      </c>
      <c r="AG36" s="247" t="e">
        <f>MATCH(D36, Data!$UU$2:$UU$13,0)</f>
        <v>#N/A</v>
      </c>
      <c r="AH36" s="247" t="e">
        <f>MATCH(E36,Data!$UV$1:$UX$1,0)</f>
        <v>#N/A</v>
      </c>
      <c r="AI36" s="247" t="e">
        <f>INDEX(Data!$UV$2:$UX$13,'Cellular Blinds'!AG36,'Cellular Blinds'!AH36)</f>
        <v>#N/A</v>
      </c>
      <c r="AK36" s="247" t="e">
        <f>MATCH(E36, Data!$WY$2:$WY$4,0)</f>
        <v>#N/A</v>
      </c>
      <c r="AL36" s="247" t="e">
        <f>MATCH(F36,Data!$WZ$1:$XI$1,0)</f>
        <v>#N/A</v>
      </c>
      <c r="AM36" s="247" t="e">
        <f>INDEX(Data!$WZ$2:$XI$4,'Cellular Blinds'!AK36,'Cellular Blinds'!AL36)</f>
        <v>#N/A</v>
      </c>
      <c r="AN36" s="247" t="b">
        <f>IF(D36=Data!$XL$2,Data!$XM$1,IF(D36=Data!$XL$3,Data!$XN$1,IF(D36=Data!$XL$4,Data!$XO$1,IF(D36=Data!$XL$5,Data!$XP$1,IF(D36=Data!$XL$6,Data!$XQ$1,IF(D36=Data!$XL$7,Data!$XR$1,IF(D36=Data!$XL$8,Data!$XS$1,IF(D36=Data!$XL$9,Data!$XT$1,IF(D36=Data!$XL$10,Data!$XU$1,IF(D36=Data!$XL$11,Data!$XV$1,IF(D36=Data!$XL$12,Data!$XW$1,IF(D36=Data!$XL$13,Data!$XX$1))))))))))))</f>
        <v>0</v>
      </c>
      <c r="AO36" s="247" t="str">
        <f>IF(D36="","",IF(E36=Data!$XZ$2,VLOOKUP(D36,Data!$YB$2:$YC$13,2,FALSE),IF(E36=Data!$XZ$1,VLOOKUP(D36,Data!$YE$2:$YF$13,2,FALSE),IF(E36=Data!$XZ$3,VLOOKUP(D36,Data!$YG$2:$YH$13,2,FALSE)))))</f>
        <v/>
      </c>
      <c r="AP36" s="265" t="str">
        <f t="shared" si="3"/>
        <v/>
      </c>
      <c r="AQ36" s="265" t="str">
        <f t="shared" si="4"/>
        <v/>
      </c>
      <c r="AR36" s="247" t="str">
        <f t="shared" si="5"/>
        <v/>
      </c>
    </row>
    <row r="37" spans="1:44" ht="30" customHeight="1">
      <c r="A37" s="53">
        <v>30</v>
      </c>
      <c r="B37" s="13"/>
      <c r="C37" s="13"/>
      <c r="D37" s="13"/>
      <c r="E37" s="243"/>
      <c r="F37" s="243"/>
      <c r="G37" s="243"/>
      <c r="H37" s="243"/>
      <c r="I37" s="14"/>
      <c r="J37" s="14"/>
      <c r="K37" s="14"/>
      <c r="L37" s="14"/>
      <c r="M37" s="484"/>
      <c r="N37" s="485"/>
      <c r="O37" s="15"/>
      <c r="P37" s="15"/>
      <c r="Q37" s="13" t="str">
        <f t="shared" si="1"/>
        <v/>
      </c>
      <c r="R37" s="267" t="str">
        <f t="shared" si="2"/>
        <v/>
      </c>
      <c r="S37" s="186"/>
      <c r="T37" s="236"/>
      <c r="U37" s="237"/>
      <c r="Y37" s="33" t="str">
        <f t="shared" si="0"/>
        <v>OK</v>
      </c>
      <c r="AB37" s="247" t="e">
        <f>MATCH(E37, Data!$TA$2:$TA$4,0)</f>
        <v>#N/A</v>
      </c>
      <c r="AC37" s="247" t="e">
        <f>MATCH(F37,Data!$TB$1:$TK$1,0)</f>
        <v>#N/A</v>
      </c>
      <c r="AD37" s="247" t="e">
        <f>INDEX(Data!$TB$2:$TK$4,'Cellular Blinds'!AB37,'Cellular Blinds'!AC37)</f>
        <v>#N/A</v>
      </c>
      <c r="AF37" s="33" t="b">
        <f>IF(D37=Data!$UC$2,Data!$UD$1,IF(D37=Data!$UC$3,Data!$UE$1,IF(D37=Data!$UC$4,Data!$UF$1,IF(D37=Data!$UC$5,Data!$UG$1,IF(D37=Data!$UC$6,Data!$UH$1,IF(D37=Data!$UC$7,Data!$UI$1,IF(D37=Data!$UC$8,Data!$UJ$1,IF(D37=Data!$UC$9,Data!$UK$1,IF(D37=Data!$UC$10,Data!$UL$1,IF(D37=Data!$UC$11,Data!$UM$1,IF(D37=Data!$UC$12,Data!$UN$1,IF(D37=Data!$UC$13,Data!$UO$1))))))))))))</f>
        <v>0</v>
      </c>
      <c r="AG37" s="247" t="e">
        <f>MATCH(D37, Data!$UU$2:$UU$13,0)</f>
        <v>#N/A</v>
      </c>
      <c r="AH37" s="247" t="e">
        <f>MATCH(E37,Data!$UV$1:$UX$1,0)</f>
        <v>#N/A</v>
      </c>
      <c r="AI37" s="247" t="e">
        <f>INDEX(Data!$UV$2:$UX$13,'Cellular Blinds'!AG37,'Cellular Blinds'!AH37)</f>
        <v>#N/A</v>
      </c>
      <c r="AK37" s="247" t="e">
        <f>MATCH(E37, Data!$WY$2:$WY$4,0)</f>
        <v>#N/A</v>
      </c>
      <c r="AL37" s="247" t="e">
        <f>MATCH(F37,Data!$WZ$1:$XI$1,0)</f>
        <v>#N/A</v>
      </c>
      <c r="AM37" s="247" t="e">
        <f>INDEX(Data!$WZ$2:$XI$4,'Cellular Blinds'!AK37,'Cellular Blinds'!AL37)</f>
        <v>#N/A</v>
      </c>
      <c r="AN37" s="247" t="b">
        <f>IF(D37=Data!$XL$2,Data!$XM$1,IF(D37=Data!$XL$3,Data!$XN$1,IF(D37=Data!$XL$4,Data!$XO$1,IF(D37=Data!$XL$5,Data!$XP$1,IF(D37=Data!$XL$6,Data!$XQ$1,IF(D37=Data!$XL$7,Data!$XR$1,IF(D37=Data!$XL$8,Data!$XS$1,IF(D37=Data!$XL$9,Data!$XT$1,IF(D37=Data!$XL$10,Data!$XU$1,IF(D37=Data!$XL$11,Data!$XV$1,IF(D37=Data!$XL$12,Data!$XW$1,IF(D37=Data!$XL$13,Data!$XX$1))))))))))))</f>
        <v>0</v>
      </c>
      <c r="AO37" s="247" t="str">
        <f>IF(D37="","",IF(E37=Data!$XZ$2,VLOOKUP(D37,Data!$YB$2:$YC$13,2,FALSE),IF(E37=Data!$XZ$1,VLOOKUP(D37,Data!$YE$2:$YF$13,2,FALSE),IF(E37=Data!$XZ$3,VLOOKUP(D37,Data!$YG$2:$YH$13,2,FALSE)))))</f>
        <v/>
      </c>
      <c r="AP37" s="265" t="str">
        <f t="shared" si="3"/>
        <v/>
      </c>
      <c r="AQ37" s="265" t="str">
        <f t="shared" si="4"/>
        <v/>
      </c>
      <c r="AR37" s="247" t="str">
        <f t="shared" si="5"/>
        <v/>
      </c>
    </row>
    <row r="38" spans="1:44" ht="30" customHeight="1">
      <c r="A38" s="53">
        <v>31</v>
      </c>
      <c r="B38" s="13"/>
      <c r="C38" s="13"/>
      <c r="D38" s="13"/>
      <c r="E38" s="243"/>
      <c r="F38" s="243"/>
      <c r="G38" s="243"/>
      <c r="H38" s="243"/>
      <c r="I38" s="14"/>
      <c r="J38" s="14"/>
      <c r="K38" s="14"/>
      <c r="L38" s="14"/>
      <c r="M38" s="484"/>
      <c r="N38" s="485"/>
      <c r="O38" s="15"/>
      <c r="P38" s="15"/>
      <c r="Q38" s="13" t="str">
        <f t="shared" si="1"/>
        <v/>
      </c>
      <c r="R38" s="267" t="str">
        <f t="shared" si="2"/>
        <v/>
      </c>
      <c r="S38" s="186"/>
      <c r="T38" s="236"/>
      <c r="U38" s="237"/>
      <c r="Y38" s="33" t="str">
        <f t="shared" si="0"/>
        <v>OK</v>
      </c>
      <c r="AB38" s="247" t="e">
        <f>MATCH(E38, Data!$TA$2:$TA$4,0)</f>
        <v>#N/A</v>
      </c>
      <c r="AC38" s="247" t="e">
        <f>MATCH(F38,Data!$TB$1:$TK$1,0)</f>
        <v>#N/A</v>
      </c>
      <c r="AD38" s="247" t="e">
        <f>INDEX(Data!$TB$2:$TK$4,'Cellular Blinds'!AB38,'Cellular Blinds'!AC38)</f>
        <v>#N/A</v>
      </c>
      <c r="AF38" s="33" t="b">
        <f>IF(D38=Data!$UC$2,Data!$UD$1,IF(D38=Data!$UC$3,Data!$UE$1,IF(D38=Data!$UC$4,Data!$UF$1,IF(D38=Data!$UC$5,Data!$UG$1,IF(D38=Data!$UC$6,Data!$UH$1,IF(D38=Data!$UC$7,Data!$UI$1,IF(D38=Data!$UC$8,Data!$UJ$1,IF(D38=Data!$UC$9,Data!$UK$1,IF(D38=Data!$UC$10,Data!$UL$1,IF(D38=Data!$UC$11,Data!$UM$1,IF(D38=Data!$UC$12,Data!$UN$1,IF(D38=Data!$UC$13,Data!$UO$1))))))))))))</f>
        <v>0</v>
      </c>
      <c r="AG38" s="247" t="e">
        <f>MATCH(D38, Data!$UU$2:$UU$13,0)</f>
        <v>#N/A</v>
      </c>
      <c r="AH38" s="247" t="e">
        <f>MATCH(E38,Data!$UV$1:$UX$1,0)</f>
        <v>#N/A</v>
      </c>
      <c r="AI38" s="247" t="e">
        <f>INDEX(Data!$UV$2:$UX$13,'Cellular Blinds'!AG38,'Cellular Blinds'!AH38)</f>
        <v>#N/A</v>
      </c>
      <c r="AK38" s="247" t="e">
        <f>MATCH(E38, Data!$WY$2:$WY$4,0)</f>
        <v>#N/A</v>
      </c>
      <c r="AL38" s="247" t="e">
        <f>MATCH(F38,Data!$WZ$1:$XI$1,0)</f>
        <v>#N/A</v>
      </c>
      <c r="AM38" s="247" t="e">
        <f>INDEX(Data!$WZ$2:$XI$4,'Cellular Blinds'!AK38,'Cellular Blinds'!AL38)</f>
        <v>#N/A</v>
      </c>
      <c r="AN38" s="247" t="b">
        <f>IF(D38=Data!$XL$2,Data!$XM$1,IF(D38=Data!$XL$3,Data!$XN$1,IF(D38=Data!$XL$4,Data!$XO$1,IF(D38=Data!$XL$5,Data!$XP$1,IF(D38=Data!$XL$6,Data!$XQ$1,IF(D38=Data!$XL$7,Data!$XR$1,IF(D38=Data!$XL$8,Data!$XS$1,IF(D38=Data!$XL$9,Data!$XT$1,IF(D38=Data!$XL$10,Data!$XU$1,IF(D38=Data!$XL$11,Data!$XV$1,IF(D38=Data!$XL$12,Data!$XW$1,IF(D38=Data!$XL$13,Data!$XX$1))))))))))))</f>
        <v>0</v>
      </c>
      <c r="AO38" s="247" t="str">
        <f>IF(D38="","",IF(E38=Data!$XZ$2,VLOOKUP(D38,Data!$YB$2:$YC$13,2,FALSE),IF(E38=Data!$XZ$1,VLOOKUP(D38,Data!$YE$2:$YF$13,2,FALSE),IF(E38=Data!$XZ$3,VLOOKUP(D38,Data!$YG$2:$YH$13,2,FALSE)))))</f>
        <v/>
      </c>
      <c r="AP38" s="265" t="str">
        <f t="shared" si="3"/>
        <v/>
      </c>
      <c r="AQ38" s="265" t="str">
        <f t="shared" si="4"/>
        <v/>
      </c>
      <c r="AR38" s="247" t="str">
        <f t="shared" si="5"/>
        <v/>
      </c>
    </row>
    <row r="39" spans="1:44" ht="30" customHeight="1">
      <c r="A39" s="53">
        <v>32</v>
      </c>
      <c r="B39" s="13"/>
      <c r="C39" s="13"/>
      <c r="D39" s="13"/>
      <c r="E39" s="243"/>
      <c r="F39" s="243"/>
      <c r="G39" s="243"/>
      <c r="H39" s="243"/>
      <c r="I39" s="14"/>
      <c r="J39" s="14"/>
      <c r="K39" s="14"/>
      <c r="L39" s="14"/>
      <c r="M39" s="484"/>
      <c r="N39" s="485"/>
      <c r="O39" s="15"/>
      <c r="P39" s="15"/>
      <c r="Q39" s="13" t="str">
        <f t="shared" si="1"/>
        <v/>
      </c>
      <c r="R39" s="267" t="str">
        <f t="shared" si="2"/>
        <v/>
      </c>
      <c r="S39" s="186"/>
      <c r="T39" s="236"/>
      <c r="U39" s="237"/>
      <c r="Y39" s="33" t="str">
        <f t="shared" si="0"/>
        <v>OK</v>
      </c>
      <c r="AB39" s="247" t="e">
        <f>MATCH(E39, Data!$TA$2:$TA$4,0)</f>
        <v>#N/A</v>
      </c>
      <c r="AC39" s="247" t="e">
        <f>MATCH(F39,Data!$TB$1:$TK$1,0)</f>
        <v>#N/A</v>
      </c>
      <c r="AD39" s="247" t="e">
        <f>INDEX(Data!$TB$2:$TK$4,'Cellular Blinds'!AB39,'Cellular Blinds'!AC39)</f>
        <v>#N/A</v>
      </c>
      <c r="AF39" s="33" t="b">
        <f>IF(D39=Data!$UC$2,Data!$UD$1,IF(D39=Data!$UC$3,Data!$UE$1,IF(D39=Data!$UC$4,Data!$UF$1,IF(D39=Data!$UC$5,Data!$UG$1,IF(D39=Data!$UC$6,Data!$UH$1,IF(D39=Data!$UC$7,Data!$UI$1,IF(D39=Data!$UC$8,Data!$UJ$1,IF(D39=Data!$UC$9,Data!$UK$1,IF(D39=Data!$UC$10,Data!$UL$1,IF(D39=Data!$UC$11,Data!$UM$1,IF(D39=Data!$UC$12,Data!$UN$1,IF(D39=Data!$UC$13,Data!$UO$1))))))))))))</f>
        <v>0</v>
      </c>
      <c r="AG39" s="247" t="e">
        <f>MATCH(D39, Data!$UU$2:$UU$13,0)</f>
        <v>#N/A</v>
      </c>
      <c r="AH39" s="247" t="e">
        <f>MATCH(E39,Data!$UV$1:$UX$1,0)</f>
        <v>#N/A</v>
      </c>
      <c r="AI39" s="247" t="e">
        <f>INDEX(Data!$UV$2:$UX$13,'Cellular Blinds'!AG39,'Cellular Blinds'!AH39)</f>
        <v>#N/A</v>
      </c>
      <c r="AK39" s="247" t="e">
        <f>MATCH(E39, Data!$WY$2:$WY$4,0)</f>
        <v>#N/A</v>
      </c>
      <c r="AL39" s="247" t="e">
        <f>MATCH(F39,Data!$WZ$1:$XI$1,0)</f>
        <v>#N/A</v>
      </c>
      <c r="AM39" s="247" t="e">
        <f>INDEX(Data!$WZ$2:$XI$4,'Cellular Blinds'!AK39,'Cellular Blinds'!AL39)</f>
        <v>#N/A</v>
      </c>
      <c r="AN39" s="247" t="b">
        <f>IF(D39=Data!$XL$2,Data!$XM$1,IF(D39=Data!$XL$3,Data!$XN$1,IF(D39=Data!$XL$4,Data!$XO$1,IF(D39=Data!$XL$5,Data!$XP$1,IF(D39=Data!$XL$6,Data!$XQ$1,IF(D39=Data!$XL$7,Data!$XR$1,IF(D39=Data!$XL$8,Data!$XS$1,IF(D39=Data!$XL$9,Data!$XT$1,IF(D39=Data!$XL$10,Data!$XU$1,IF(D39=Data!$XL$11,Data!$XV$1,IF(D39=Data!$XL$12,Data!$XW$1,IF(D39=Data!$XL$13,Data!$XX$1))))))))))))</f>
        <v>0</v>
      </c>
      <c r="AO39" s="247" t="str">
        <f>IF(D39="","",IF(E39=Data!$XZ$2,VLOOKUP(D39,Data!$YB$2:$YC$13,2,FALSE),IF(E39=Data!$XZ$1,VLOOKUP(D39,Data!$YE$2:$YF$13,2,FALSE),IF(E39=Data!$XZ$3,VLOOKUP(D39,Data!$YG$2:$YH$13,2,FALSE)))))</f>
        <v/>
      </c>
      <c r="AP39" s="265" t="str">
        <f t="shared" si="3"/>
        <v/>
      </c>
      <c r="AQ39" s="265" t="str">
        <f t="shared" si="4"/>
        <v/>
      </c>
      <c r="AR39" s="247" t="str">
        <f t="shared" si="5"/>
        <v/>
      </c>
    </row>
    <row r="40" spans="1:44" ht="30" customHeight="1">
      <c r="A40" s="53">
        <v>33</v>
      </c>
      <c r="B40" s="13"/>
      <c r="C40" s="13"/>
      <c r="D40" s="13"/>
      <c r="E40" s="243"/>
      <c r="F40" s="243"/>
      <c r="G40" s="243"/>
      <c r="H40" s="243"/>
      <c r="I40" s="14"/>
      <c r="J40" s="14"/>
      <c r="K40" s="14"/>
      <c r="L40" s="14"/>
      <c r="M40" s="484"/>
      <c r="N40" s="485"/>
      <c r="O40" s="15"/>
      <c r="P40" s="15"/>
      <c r="Q40" s="13" t="str">
        <f t="shared" si="1"/>
        <v/>
      </c>
      <c r="R40" s="267" t="str">
        <f t="shared" si="2"/>
        <v/>
      </c>
      <c r="S40" s="186"/>
      <c r="T40" s="236"/>
      <c r="U40" s="237"/>
      <c r="Y40" s="33" t="str">
        <f t="shared" ref="Y40:Y57" si="6">IF(AND(C40&gt;0,P40=""),"Enter","OK")</f>
        <v>OK</v>
      </c>
      <c r="AB40" s="247" t="e">
        <f>MATCH(E40, Data!$TA$2:$TA$4,0)</f>
        <v>#N/A</v>
      </c>
      <c r="AC40" s="247" t="e">
        <f>MATCH(F40,Data!$TB$1:$TK$1,0)</f>
        <v>#N/A</v>
      </c>
      <c r="AD40" s="247" t="e">
        <f>INDEX(Data!$TB$2:$TK$4,'Cellular Blinds'!AB40,'Cellular Blinds'!AC40)</f>
        <v>#N/A</v>
      </c>
      <c r="AF40" s="33" t="b">
        <f>IF(D40=Data!$UC$2,Data!$UD$1,IF(D40=Data!$UC$3,Data!$UE$1,IF(D40=Data!$UC$4,Data!$UF$1,IF(D40=Data!$UC$5,Data!$UG$1,IF(D40=Data!$UC$6,Data!$UH$1,IF(D40=Data!$UC$7,Data!$UI$1,IF(D40=Data!$UC$8,Data!$UJ$1,IF(D40=Data!$UC$9,Data!$UK$1,IF(D40=Data!$UC$10,Data!$UL$1,IF(D40=Data!$UC$11,Data!$UM$1,IF(D40=Data!$UC$12,Data!$UN$1,IF(D40=Data!$UC$13,Data!$UO$1))))))))))))</f>
        <v>0</v>
      </c>
      <c r="AG40" s="247" t="e">
        <f>MATCH(D40, Data!$UU$2:$UU$13,0)</f>
        <v>#N/A</v>
      </c>
      <c r="AH40" s="247" t="e">
        <f>MATCH(E40,Data!$UV$1:$UX$1,0)</f>
        <v>#N/A</v>
      </c>
      <c r="AI40" s="247" t="e">
        <f>INDEX(Data!$UV$2:$UX$13,'Cellular Blinds'!AG40,'Cellular Blinds'!AH40)</f>
        <v>#N/A</v>
      </c>
      <c r="AK40" s="247" t="e">
        <f>MATCH(E40, Data!$WY$2:$WY$4,0)</f>
        <v>#N/A</v>
      </c>
      <c r="AL40" s="247" t="e">
        <f>MATCH(F40,Data!$WZ$1:$XI$1,0)</f>
        <v>#N/A</v>
      </c>
      <c r="AM40" s="247" t="e">
        <f>INDEX(Data!$WZ$2:$XI$4,'Cellular Blinds'!AK40,'Cellular Blinds'!AL40)</f>
        <v>#N/A</v>
      </c>
      <c r="AN40" s="247" t="b">
        <f>IF(D40=Data!$XL$2,Data!$XM$1,IF(D40=Data!$XL$3,Data!$XN$1,IF(D40=Data!$XL$4,Data!$XO$1,IF(D40=Data!$XL$5,Data!$XP$1,IF(D40=Data!$XL$6,Data!$XQ$1,IF(D40=Data!$XL$7,Data!$XR$1,IF(D40=Data!$XL$8,Data!$XS$1,IF(D40=Data!$XL$9,Data!$XT$1,IF(D40=Data!$XL$10,Data!$XU$1,IF(D40=Data!$XL$11,Data!$XV$1,IF(D40=Data!$XL$12,Data!$XW$1,IF(D40=Data!$XL$13,Data!$XX$1))))))))))))</f>
        <v>0</v>
      </c>
      <c r="AO40" s="247" t="str">
        <f>IF(D40="","",IF(E40=Data!$XZ$2,VLOOKUP(D40,Data!$YB$2:$YC$13,2,FALSE),IF(E40=Data!$XZ$1,VLOOKUP(D40,Data!$YE$2:$YF$13,2,FALSE),IF(E40=Data!$XZ$3,VLOOKUP(D40,Data!$YG$2:$YH$13,2,FALSE)))))</f>
        <v/>
      </c>
      <c r="AP40" s="265" t="str">
        <f t="shared" si="3"/>
        <v/>
      </c>
      <c r="AQ40" s="265" t="str">
        <f t="shared" si="4"/>
        <v/>
      </c>
      <c r="AR40" s="247" t="str">
        <f t="shared" si="5"/>
        <v/>
      </c>
    </row>
    <row r="41" spans="1:44" ht="30" customHeight="1">
      <c r="A41" s="53">
        <v>34</v>
      </c>
      <c r="B41" s="13"/>
      <c r="C41" s="13"/>
      <c r="D41" s="13"/>
      <c r="E41" s="243"/>
      <c r="F41" s="243"/>
      <c r="G41" s="243"/>
      <c r="H41" s="243"/>
      <c r="I41" s="14"/>
      <c r="J41" s="14"/>
      <c r="K41" s="14"/>
      <c r="L41" s="14"/>
      <c r="M41" s="484"/>
      <c r="N41" s="485"/>
      <c r="O41" s="15"/>
      <c r="P41" s="15"/>
      <c r="Q41" s="13" t="str">
        <f t="shared" si="1"/>
        <v/>
      </c>
      <c r="R41" s="267" t="str">
        <f t="shared" si="2"/>
        <v/>
      </c>
      <c r="S41" s="186"/>
      <c r="T41" s="236"/>
      <c r="U41" s="237"/>
      <c r="Y41" s="33" t="str">
        <f t="shared" si="6"/>
        <v>OK</v>
      </c>
      <c r="AB41" s="247" t="e">
        <f>MATCH(E41, Data!$TA$2:$TA$4,0)</f>
        <v>#N/A</v>
      </c>
      <c r="AC41" s="247" t="e">
        <f>MATCH(F41,Data!$TB$1:$TK$1,0)</f>
        <v>#N/A</v>
      </c>
      <c r="AD41" s="247" t="e">
        <f>INDEX(Data!$TB$2:$TK$4,'Cellular Blinds'!AB41,'Cellular Blinds'!AC41)</f>
        <v>#N/A</v>
      </c>
      <c r="AF41" s="33" t="b">
        <f>IF(D41=Data!$UC$2,Data!$UD$1,IF(D41=Data!$UC$3,Data!$UE$1,IF(D41=Data!$UC$4,Data!$UF$1,IF(D41=Data!$UC$5,Data!$UG$1,IF(D41=Data!$UC$6,Data!$UH$1,IF(D41=Data!$UC$7,Data!$UI$1,IF(D41=Data!$UC$8,Data!$UJ$1,IF(D41=Data!$UC$9,Data!$UK$1,IF(D41=Data!$UC$10,Data!$UL$1,IF(D41=Data!$UC$11,Data!$UM$1,IF(D41=Data!$UC$12,Data!$UN$1,IF(D41=Data!$UC$13,Data!$UO$1))))))))))))</f>
        <v>0</v>
      </c>
      <c r="AG41" s="247" t="e">
        <f>MATCH(D41, Data!$UU$2:$UU$13,0)</f>
        <v>#N/A</v>
      </c>
      <c r="AH41" s="247" t="e">
        <f>MATCH(E41,Data!$UV$1:$UX$1,0)</f>
        <v>#N/A</v>
      </c>
      <c r="AI41" s="247" t="e">
        <f>INDEX(Data!$UV$2:$UX$13,'Cellular Blinds'!AG41,'Cellular Blinds'!AH41)</f>
        <v>#N/A</v>
      </c>
      <c r="AK41" s="247" t="e">
        <f>MATCH(E41, Data!$WY$2:$WY$4,0)</f>
        <v>#N/A</v>
      </c>
      <c r="AL41" s="247" t="e">
        <f>MATCH(F41,Data!$WZ$1:$XI$1,0)</f>
        <v>#N/A</v>
      </c>
      <c r="AM41" s="247" t="e">
        <f>INDEX(Data!$WZ$2:$XI$4,'Cellular Blinds'!AK41,'Cellular Blinds'!AL41)</f>
        <v>#N/A</v>
      </c>
      <c r="AN41" s="247" t="b">
        <f>IF(D41=Data!$XL$2,Data!$XM$1,IF(D41=Data!$XL$3,Data!$XN$1,IF(D41=Data!$XL$4,Data!$XO$1,IF(D41=Data!$XL$5,Data!$XP$1,IF(D41=Data!$XL$6,Data!$XQ$1,IF(D41=Data!$XL$7,Data!$XR$1,IF(D41=Data!$XL$8,Data!$XS$1,IF(D41=Data!$XL$9,Data!$XT$1,IF(D41=Data!$XL$10,Data!$XU$1,IF(D41=Data!$XL$11,Data!$XV$1,IF(D41=Data!$XL$12,Data!$XW$1,IF(D41=Data!$XL$13,Data!$XX$1))))))))))))</f>
        <v>0</v>
      </c>
      <c r="AO41" s="247" t="str">
        <f>IF(D41="","",IF(E41=Data!$XZ$2,VLOOKUP(D41,Data!$YB$2:$YC$13,2,FALSE),IF(E41=Data!$XZ$1,VLOOKUP(D41,Data!$YE$2:$YF$13,2,FALSE),IF(E41=Data!$XZ$3,VLOOKUP(D41,Data!$YG$2:$YH$13,2,FALSE)))))</f>
        <v/>
      </c>
      <c r="AP41" s="265" t="str">
        <f t="shared" si="3"/>
        <v/>
      </c>
      <c r="AQ41" s="265" t="str">
        <f t="shared" si="4"/>
        <v/>
      </c>
      <c r="AR41" s="247" t="str">
        <f t="shared" si="5"/>
        <v/>
      </c>
    </row>
    <row r="42" spans="1:44" ht="30" customHeight="1">
      <c r="A42" s="53">
        <v>35</v>
      </c>
      <c r="B42" s="13"/>
      <c r="C42" s="13"/>
      <c r="D42" s="13"/>
      <c r="E42" s="243"/>
      <c r="F42" s="243"/>
      <c r="G42" s="243"/>
      <c r="H42" s="243"/>
      <c r="I42" s="14"/>
      <c r="J42" s="14"/>
      <c r="K42" s="14"/>
      <c r="L42" s="14"/>
      <c r="M42" s="484"/>
      <c r="N42" s="485"/>
      <c r="O42" s="15"/>
      <c r="P42" s="15"/>
      <c r="Q42" s="13" t="str">
        <f t="shared" si="1"/>
        <v/>
      </c>
      <c r="R42" s="267" t="str">
        <f t="shared" si="2"/>
        <v/>
      </c>
      <c r="S42" s="186"/>
      <c r="T42" s="236"/>
      <c r="U42" s="237"/>
      <c r="Y42" s="33" t="str">
        <f t="shared" si="6"/>
        <v>OK</v>
      </c>
      <c r="AB42" s="247" t="e">
        <f>MATCH(E42, Data!$TA$2:$TA$4,0)</f>
        <v>#N/A</v>
      </c>
      <c r="AC42" s="247" t="e">
        <f>MATCH(F42,Data!$TB$1:$TK$1,0)</f>
        <v>#N/A</v>
      </c>
      <c r="AD42" s="247" t="e">
        <f>INDEX(Data!$TB$2:$TK$4,'Cellular Blinds'!AB42,'Cellular Blinds'!AC42)</f>
        <v>#N/A</v>
      </c>
      <c r="AF42" s="33" t="b">
        <f>IF(D42=Data!$UC$2,Data!$UD$1,IF(D42=Data!$UC$3,Data!$UE$1,IF(D42=Data!$UC$4,Data!$UF$1,IF(D42=Data!$UC$5,Data!$UG$1,IF(D42=Data!$UC$6,Data!$UH$1,IF(D42=Data!$UC$7,Data!$UI$1,IF(D42=Data!$UC$8,Data!$UJ$1,IF(D42=Data!$UC$9,Data!$UK$1,IF(D42=Data!$UC$10,Data!$UL$1,IF(D42=Data!$UC$11,Data!$UM$1,IF(D42=Data!$UC$12,Data!$UN$1,IF(D42=Data!$UC$13,Data!$UO$1))))))))))))</f>
        <v>0</v>
      </c>
      <c r="AG42" s="247" t="e">
        <f>MATCH(D42, Data!$UU$2:$UU$13,0)</f>
        <v>#N/A</v>
      </c>
      <c r="AH42" s="247" t="e">
        <f>MATCH(E42,Data!$UV$1:$UX$1,0)</f>
        <v>#N/A</v>
      </c>
      <c r="AI42" s="247" t="e">
        <f>INDEX(Data!$UV$2:$UX$13,'Cellular Blinds'!AG42,'Cellular Blinds'!AH42)</f>
        <v>#N/A</v>
      </c>
      <c r="AK42" s="247" t="e">
        <f>MATCH(E42, Data!$WY$2:$WY$4,0)</f>
        <v>#N/A</v>
      </c>
      <c r="AL42" s="247" t="e">
        <f>MATCH(F42,Data!$WZ$1:$XI$1,0)</f>
        <v>#N/A</v>
      </c>
      <c r="AM42" s="247" t="e">
        <f>INDEX(Data!$WZ$2:$XI$4,'Cellular Blinds'!AK42,'Cellular Blinds'!AL42)</f>
        <v>#N/A</v>
      </c>
      <c r="AN42" s="247" t="b">
        <f>IF(D42=Data!$XL$2,Data!$XM$1,IF(D42=Data!$XL$3,Data!$XN$1,IF(D42=Data!$XL$4,Data!$XO$1,IF(D42=Data!$XL$5,Data!$XP$1,IF(D42=Data!$XL$6,Data!$XQ$1,IF(D42=Data!$XL$7,Data!$XR$1,IF(D42=Data!$XL$8,Data!$XS$1,IF(D42=Data!$XL$9,Data!$XT$1,IF(D42=Data!$XL$10,Data!$XU$1,IF(D42=Data!$XL$11,Data!$XV$1,IF(D42=Data!$XL$12,Data!$XW$1,IF(D42=Data!$XL$13,Data!$XX$1))))))))))))</f>
        <v>0</v>
      </c>
      <c r="AO42" s="247" t="str">
        <f>IF(D42="","",IF(E42=Data!$XZ$2,VLOOKUP(D42,Data!$YB$2:$YC$13,2,FALSE),IF(E42=Data!$XZ$1,VLOOKUP(D42,Data!$YE$2:$YF$13,2,FALSE),IF(E42=Data!$XZ$3,VLOOKUP(D42,Data!$YG$2:$YH$13,2,FALSE)))))</f>
        <v/>
      </c>
      <c r="AP42" s="265" t="str">
        <f t="shared" si="3"/>
        <v/>
      </c>
      <c r="AQ42" s="265" t="str">
        <f t="shared" si="4"/>
        <v/>
      </c>
      <c r="AR42" s="247" t="str">
        <f t="shared" si="5"/>
        <v/>
      </c>
    </row>
    <row r="43" spans="1:44" ht="30" customHeight="1">
      <c r="A43" s="53">
        <v>36</v>
      </c>
      <c r="B43" s="13"/>
      <c r="C43" s="13"/>
      <c r="D43" s="13"/>
      <c r="E43" s="243"/>
      <c r="F43" s="243"/>
      <c r="G43" s="243"/>
      <c r="H43" s="243"/>
      <c r="I43" s="14"/>
      <c r="J43" s="14"/>
      <c r="K43" s="14"/>
      <c r="L43" s="14"/>
      <c r="M43" s="484"/>
      <c r="N43" s="485"/>
      <c r="O43" s="15"/>
      <c r="P43" s="15"/>
      <c r="Q43" s="13" t="str">
        <f t="shared" si="1"/>
        <v/>
      </c>
      <c r="R43" s="267" t="str">
        <f t="shared" si="2"/>
        <v/>
      </c>
      <c r="S43" s="186"/>
      <c r="T43" s="236"/>
      <c r="U43" s="237"/>
      <c r="Y43" s="33" t="str">
        <f t="shared" si="6"/>
        <v>OK</v>
      </c>
      <c r="AB43" s="247" t="e">
        <f>MATCH(E43, Data!$TA$2:$TA$4,0)</f>
        <v>#N/A</v>
      </c>
      <c r="AC43" s="247" t="e">
        <f>MATCH(F43,Data!$TB$1:$TK$1,0)</f>
        <v>#N/A</v>
      </c>
      <c r="AD43" s="247" t="e">
        <f>INDEX(Data!$TB$2:$TK$4,'Cellular Blinds'!AB43,'Cellular Blinds'!AC43)</f>
        <v>#N/A</v>
      </c>
      <c r="AF43" s="33" t="b">
        <f>IF(D43=Data!$UC$2,Data!$UD$1,IF(D43=Data!$UC$3,Data!$UE$1,IF(D43=Data!$UC$4,Data!$UF$1,IF(D43=Data!$UC$5,Data!$UG$1,IF(D43=Data!$UC$6,Data!$UH$1,IF(D43=Data!$UC$7,Data!$UI$1,IF(D43=Data!$UC$8,Data!$UJ$1,IF(D43=Data!$UC$9,Data!$UK$1,IF(D43=Data!$UC$10,Data!$UL$1,IF(D43=Data!$UC$11,Data!$UM$1,IF(D43=Data!$UC$12,Data!$UN$1,IF(D43=Data!$UC$13,Data!$UO$1))))))))))))</f>
        <v>0</v>
      </c>
      <c r="AG43" s="247" t="e">
        <f>MATCH(D43, Data!$UU$2:$UU$13,0)</f>
        <v>#N/A</v>
      </c>
      <c r="AH43" s="247" t="e">
        <f>MATCH(E43,Data!$UV$1:$UX$1,0)</f>
        <v>#N/A</v>
      </c>
      <c r="AI43" s="247" t="e">
        <f>INDEX(Data!$UV$2:$UX$13,'Cellular Blinds'!AG43,'Cellular Blinds'!AH43)</f>
        <v>#N/A</v>
      </c>
      <c r="AK43" s="247" t="e">
        <f>MATCH(E43, Data!$WY$2:$WY$4,0)</f>
        <v>#N/A</v>
      </c>
      <c r="AL43" s="247" t="e">
        <f>MATCH(F43,Data!$WZ$1:$XI$1,0)</f>
        <v>#N/A</v>
      </c>
      <c r="AM43" s="247" t="e">
        <f>INDEX(Data!$WZ$2:$XI$4,'Cellular Blinds'!AK43,'Cellular Blinds'!AL43)</f>
        <v>#N/A</v>
      </c>
      <c r="AN43" s="247" t="b">
        <f>IF(D43=Data!$XL$2,Data!$XM$1,IF(D43=Data!$XL$3,Data!$XN$1,IF(D43=Data!$XL$4,Data!$XO$1,IF(D43=Data!$XL$5,Data!$XP$1,IF(D43=Data!$XL$6,Data!$XQ$1,IF(D43=Data!$XL$7,Data!$XR$1,IF(D43=Data!$XL$8,Data!$XS$1,IF(D43=Data!$XL$9,Data!$XT$1,IF(D43=Data!$XL$10,Data!$XU$1,IF(D43=Data!$XL$11,Data!$XV$1,IF(D43=Data!$XL$12,Data!$XW$1,IF(D43=Data!$XL$13,Data!$XX$1))))))))))))</f>
        <v>0</v>
      </c>
      <c r="AO43" s="247" t="str">
        <f>IF(D43="","",IF(E43=Data!$XZ$2,VLOOKUP(D43,Data!$YB$2:$YC$13,2,FALSE),IF(E43=Data!$XZ$1,VLOOKUP(D43,Data!$YE$2:$YF$13,2,FALSE),IF(E43=Data!$XZ$3,VLOOKUP(D43,Data!$YG$2:$YH$13,2,FALSE)))))</f>
        <v/>
      </c>
      <c r="AP43" s="265" t="str">
        <f t="shared" si="3"/>
        <v/>
      </c>
      <c r="AQ43" s="265" t="str">
        <f t="shared" si="4"/>
        <v/>
      </c>
      <c r="AR43" s="247" t="str">
        <f t="shared" si="5"/>
        <v/>
      </c>
    </row>
    <row r="44" spans="1:44" ht="30" customHeight="1">
      <c r="A44" s="53">
        <v>37</v>
      </c>
      <c r="B44" s="19"/>
      <c r="C44" s="13"/>
      <c r="D44" s="13"/>
      <c r="E44" s="243"/>
      <c r="F44" s="243"/>
      <c r="G44" s="243"/>
      <c r="H44" s="243"/>
      <c r="I44" s="14"/>
      <c r="J44" s="14"/>
      <c r="K44" s="14"/>
      <c r="L44" s="14"/>
      <c r="M44" s="484"/>
      <c r="N44" s="485"/>
      <c r="O44" s="15"/>
      <c r="P44" s="15"/>
      <c r="Q44" s="13" t="str">
        <f t="shared" si="1"/>
        <v/>
      </c>
      <c r="R44" s="267" t="str">
        <f t="shared" si="2"/>
        <v/>
      </c>
      <c r="S44" s="186"/>
      <c r="T44" s="236"/>
      <c r="U44" s="237"/>
      <c r="Y44" s="33" t="str">
        <f t="shared" si="6"/>
        <v>OK</v>
      </c>
      <c r="AB44" s="247" t="e">
        <f>MATCH(E44, Data!$TA$2:$TA$4,0)</f>
        <v>#N/A</v>
      </c>
      <c r="AC44" s="247" t="e">
        <f>MATCH(F44,Data!$TB$1:$TK$1,0)</f>
        <v>#N/A</v>
      </c>
      <c r="AD44" s="247" t="e">
        <f>INDEX(Data!$TB$2:$TK$4,'Cellular Blinds'!AB44,'Cellular Blinds'!AC44)</f>
        <v>#N/A</v>
      </c>
      <c r="AF44" s="33" t="b">
        <f>IF(D44=Data!$UC$2,Data!$UD$1,IF(D44=Data!$UC$3,Data!$UE$1,IF(D44=Data!$UC$4,Data!$UF$1,IF(D44=Data!$UC$5,Data!$UG$1,IF(D44=Data!$UC$6,Data!$UH$1,IF(D44=Data!$UC$7,Data!$UI$1,IF(D44=Data!$UC$8,Data!$UJ$1,IF(D44=Data!$UC$9,Data!$UK$1,IF(D44=Data!$UC$10,Data!$UL$1,IF(D44=Data!$UC$11,Data!$UM$1,IF(D44=Data!$UC$12,Data!$UN$1,IF(D44=Data!$UC$13,Data!$UO$1))))))))))))</f>
        <v>0</v>
      </c>
      <c r="AG44" s="247" t="e">
        <f>MATCH(D44, Data!$UU$2:$UU$13,0)</f>
        <v>#N/A</v>
      </c>
      <c r="AH44" s="247" t="e">
        <f>MATCH(E44,Data!$UV$1:$UX$1,0)</f>
        <v>#N/A</v>
      </c>
      <c r="AI44" s="247" t="e">
        <f>INDEX(Data!$UV$2:$UX$13,'Cellular Blinds'!AG44,'Cellular Blinds'!AH44)</f>
        <v>#N/A</v>
      </c>
      <c r="AK44" s="247" t="e">
        <f>MATCH(E44, Data!$WY$2:$WY$4,0)</f>
        <v>#N/A</v>
      </c>
      <c r="AL44" s="247" t="e">
        <f>MATCH(F44,Data!$WZ$1:$XI$1,0)</f>
        <v>#N/A</v>
      </c>
      <c r="AM44" s="247" t="e">
        <f>INDEX(Data!$WZ$2:$XI$4,'Cellular Blinds'!AK44,'Cellular Blinds'!AL44)</f>
        <v>#N/A</v>
      </c>
      <c r="AN44" s="247" t="b">
        <f>IF(D44=Data!$XL$2,Data!$XM$1,IF(D44=Data!$XL$3,Data!$XN$1,IF(D44=Data!$XL$4,Data!$XO$1,IF(D44=Data!$XL$5,Data!$XP$1,IF(D44=Data!$XL$6,Data!$XQ$1,IF(D44=Data!$XL$7,Data!$XR$1,IF(D44=Data!$XL$8,Data!$XS$1,IF(D44=Data!$XL$9,Data!$XT$1,IF(D44=Data!$XL$10,Data!$XU$1,IF(D44=Data!$XL$11,Data!$XV$1,IF(D44=Data!$XL$12,Data!$XW$1,IF(D44=Data!$XL$13,Data!$XX$1))))))))))))</f>
        <v>0</v>
      </c>
      <c r="AO44" s="247" t="str">
        <f>IF(D44="","",IF(E44=Data!$XZ$2,VLOOKUP(D44,Data!$YB$2:$YC$13,2,FALSE),IF(E44=Data!$XZ$1,VLOOKUP(D44,Data!$YE$2:$YF$13,2,FALSE),IF(E44=Data!$XZ$3,VLOOKUP(D44,Data!$YG$2:$YH$13,2,FALSE)))))</f>
        <v/>
      </c>
      <c r="AP44" s="265" t="str">
        <f t="shared" si="3"/>
        <v/>
      </c>
      <c r="AQ44" s="265" t="str">
        <f t="shared" si="4"/>
        <v/>
      </c>
      <c r="AR44" s="247" t="str">
        <f t="shared" si="5"/>
        <v/>
      </c>
    </row>
    <row r="45" spans="1:44" ht="30" customHeight="1">
      <c r="A45" s="53">
        <v>38</v>
      </c>
      <c r="B45" s="13"/>
      <c r="C45" s="13"/>
      <c r="D45" s="13"/>
      <c r="E45" s="243"/>
      <c r="F45" s="243"/>
      <c r="G45" s="243"/>
      <c r="H45" s="243"/>
      <c r="I45" s="14"/>
      <c r="J45" s="14"/>
      <c r="K45" s="14"/>
      <c r="L45" s="14"/>
      <c r="M45" s="484"/>
      <c r="N45" s="485"/>
      <c r="O45" s="15"/>
      <c r="P45" s="15"/>
      <c r="Q45" s="13" t="str">
        <f t="shared" si="1"/>
        <v/>
      </c>
      <c r="R45" s="267" t="str">
        <f t="shared" si="2"/>
        <v/>
      </c>
      <c r="S45" s="186"/>
      <c r="T45" s="236"/>
      <c r="U45" s="237"/>
      <c r="Y45" s="33" t="str">
        <f t="shared" si="6"/>
        <v>OK</v>
      </c>
      <c r="AB45" s="247" t="e">
        <f>MATCH(E45, Data!$TA$2:$TA$4,0)</f>
        <v>#N/A</v>
      </c>
      <c r="AC45" s="247" t="e">
        <f>MATCH(F45,Data!$TB$1:$TK$1,0)</f>
        <v>#N/A</v>
      </c>
      <c r="AD45" s="247" t="e">
        <f>INDEX(Data!$TB$2:$TK$4,'Cellular Blinds'!AB45,'Cellular Blinds'!AC45)</f>
        <v>#N/A</v>
      </c>
      <c r="AF45" s="33" t="b">
        <f>IF(D45=Data!$UC$2,Data!$UD$1,IF(D45=Data!$UC$3,Data!$UE$1,IF(D45=Data!$UC$4,Data!$UF$1,IF(D45=Data!$UC$5,Data!$UG$1,IF(D45=Data!$UC$6,Data!$UH$1,IF(D45=Data!$UC$7,Data!$UI$1,IF(D45=Data!$UC$8,Data!$UJ$1,IF(D45=Data!$UC$9,Data!$UK$1,IF(D45=Data!$UC$10,Data!$UL$1,IF(D45=Data!$UC$11,Data!$UM$1,IF(D45=Data!$UC$12,Data!$UN$1,IF(D45=Data!$UC$13,Data!$UO$1))))))))))))</f>
        <v>0</v>
      </c>
      <c r="AG45" s="247" t="e">
        <f>MATCH(D45, Data!$UU$2:$UU$13,0)</f>
        <v>#N/A</v>
      </c>
      <c r="AH45" s="247" t="e">
        <f>MATCH(E45,Data!$UV$1:$UX$1,0)</f>
        <v>#N/A</v>
      </c>
      <c r="AI45" s="247" t="e">
        <f>INDEX(Data!$UV$2:$UX$13,'Cellular Blinds'!AG45,'Cellular Blinds'!AH45)</f>
        <v>#N/A</v>
      </c>
      <c r="AK45" s="247" t="e">
        <f>MATCH(E45, Data!$WY$2:$WY$4,0)</f>
        <v>#N/A</v>
      </c>
      <c r="AL45" s="247" t="e">
        <f>MATCH(F45,Data!$WZ$1:$XI$1,0)</f>
        <v>#N/A</v>
      </c>
      <c r="AM45" s="247" t="e">
        <f>INDEX(Data!$WZ$2:$XI$4,'Cellular Blinds'!AK45,'Cellular Blinds'!AL45)</f>
        <v>#N/A</v>
      </c>
      <c r="AN45" s="247" t="b">
        <f>IF(D45=Data!$XL$2,Data!$XM$1,IF(D45=Data!$XL$3,Data!$XN$1,IF(D45=Data!$XL$4,Data!$XO$1,IF(D45=Data!$XL$5,Data!$XP$1,IF(D45=Data!$XL$6,Data!$XQ$1,IF(D45=Data!$XL$7,Data!$XR$1,IF(D45=Data!$XL$8,Data!$XS$1,IF(D45=Data!$XL$9,Data!$XT$1,IF(D45=Data!$XL$10,Data!$XU$1,IF(D45=Data!$XL$11,Data!$XV$1,IF(D45=Data!$XL$12,Data!$XW$1,IF(D45=Data!$XL$13,Data!$XX$1))))))))))))</f>
        <v>0</v>
      </c>
      <c r="AO45" s="247" t="str">
        <f>IF(D45="","",IF(E45=Data!$XZ$2,VLOOKUP(D45,Data!$YB$2:$YC$13,2,FALSE),IF(E45=Data!$XZ$1,VLOOKUP(D45,Data!$YE$2:$YF$13,2,FALSE),IF(E45=Data!$XZ$3,VLOOKUP(D45,Data!$YG$2:$YH$13,2,FALSE)))))</f>
        <v/>
      </c>
      <c r="AP45" s="265" t="str">
        <f t="shared" si="3"/>
        <v/>
      </c>
      <c r="AQ45" s="265" t="str">
        <f t="shared" si="4"/>
        <v/>
      </c>
      <c r="AR45" s="247" t="str">
        <f t="shared" si="5"/>
        <v/>
      </c>
    </row>
    <row r="46" spans="1:44" ht="30" customHeight="1">
      <c r="A46" s="53">
        <v>39</v>
      </c>
      <c r="B46" s="13"/>
      <c r="C46" s="13"/>
      <c r="D46" s="13"/>
      <c r="E46" s="243"/>
      <c r="F46" s="243"/>
      <c r="G46" s="243"/>
      <c r="H46" s="243"/>
      <c r="I46" s="14"/>
      <c r="J46" s="14"/>
      <c r="K46" s="14"/>
      <c r="L46" s="14"/>
      <c r="M46" s="484"/>
      <c r="N46" s="485"/>
      <c r="O46" s="15"/>
      <c r="P46" s="15"/>
      <c r="Q46" s="13" t="str">
        <f t="shared" si="1"/>
        <v/>
      </c>
      <c r="R46" s="267" t="str">
        <f t="shared" si="2"/>
        <v/>
      </c>
      <c r="S46" s="186"/>
      <c r="T46" s="236"/>
      <c r="U46" s="237"/>
      <c r="Y46" s="33" t="str">
        <f t="shared" si="6"/>
        <v>OK</v>
      </c>
      <c r="AB46" s="247" t="e">
        <f>MATCH(E46, Data!$TA$2:$TA$4,0)</f>
        <v>#N/A</v>
      </c>
      <c r="AC46" s="247" t="e">
        <f>MATCH(F46,Data!$TB$1:$TK$1,0)</f>
        <v>#N/A</v>
      </c>
      <c r="AD46" s="247" t="e">
        <f>INDEX(Data!$TB$2:$TK$4,'Cellular Blinds'!AB46,'Cellular Blinds'!AC46)</f>
        <v>#N/A</v>
      </c>
      <c r="AF46" s="33" t="b">
        <f>IF(D46=Data!$UC$2,Data!$UD$1,IF(D46=Data!$UC$3,Data!$UE$1,IF(D46=Data!$UC$4,Data!$UF$1,IF(D46=Data!$UC$5,Data!$UG$1,IF(D46=Data!$UC$6,Data!$UH$1,IF(D46=Data!$UC$7,Data!$UI$1,IF(D46=Data!$UC$8,Data!$UJ$1,IF(D46=Data!$UC$9,Data!$UK$1,IF(D46=Data!$UC$10,Data!$UL$1,IF(D46=Data!$UC$11,Data!$UM$1,IF(D46=Data!$UC$12,Data!$UN$1,IF(D46=Data!$UC$13,Data!$UO$1))))))))))))</f>
        <v>0</v>
      </c>
      <c r="AG46" s="247" t="e">
        <f>MATCH(D46, Data!$UU$2:$UU$13,0)</f>
        <v>#N/A</v>
      </c>
      <c r="AH46" s="247" t="e">
        <f>MATCH(E46,Data!$UV$1:$UX$1,0)</f>
        <v>#N/A</v>
      </c>
      <c r="AI46" s="247" t="e">
        <f>INDEX(Data!$UV$2:$UX$13,'Cellular Blinds'!AG46,'Cellular Blinds'!AH46)</f>
        <v>#N/A</v>
      </c>
      <c r="AK46" s="247" t="e">
        <f>MATCH(E46, Data!$WY$2:$WY$4,0)</f>
        <v>#N/A</v>
      </c>
      <c r="AL46" s="247" t="e">
        <f>MATCH(F46,Data!$WZ$1:$XI$1,0)</f>
        <v>#N/A</v>
      </c>
      <c r="AM46" s="247" t="e">
        <f>INDEX(Data!$WZ$2:$XI$4,'Cellular Blinds'!AK46,'Cellular Blinds'!AL46)</f>
        <v>#N/A</v>
      </c>
      <c r="AN46" s="247" t="b">
        <f>IF(D46=Data!$XL$2,Data!$XM$1,IF(D46=Data!$XL$3,Data!$XN$1,IF(D46=Data!$XL$4,Data!$XO$1,IF(D46=Data!$XL$5,Data!$XP$1,IF(D46=Data!$XL$6,Data!$XQ$1,IF(D46=Data!$XL$7,Data!$XR$1,IF(D46=Data!$XL$8,Data!$XS$1,IF(D46=Data!$XL$9,Data!$XT$1,IF(D46=Data!$XL$10,Data!$XU$1,IF(D46=Data!$XL$11,Data!$XV$1,IF(D46=Data!$XL$12,Data!$XW$1,IF(D46=Data!$XL$13,Data!$XX$1))))))))))))</f>
        <v>0</v>
      </c>
      <c r="AO46" s="247" t="str">
        <f>IF(D46="","",IF(E46=Data!$XZ$2,VLOOKUP(D46,Data!$YB$2:$YC$13,2,FALSE),IF(E46=Data!$XZ$1,VLOOKUP(D46,Data!$YE$2:$YF$13,2,FALSE),IF(E46=Data!$XZ$3,VLOOKUP(D46,Data!$YG$2:$YH$13,2,FALSE)))))</f>
        <v/>
      </c>
      <c r="AP46" s="265" t="str">
        <f t="shared" si="3"/>
        <v/>
      </c>
      <c r="AQ46" s="265" t="str">
        <f t="shared" si="4"/>
        <v/>
      </c>
      <c r="AR46" s="247" t="str">
        <f t="shared" si="5"/>
        <v/>
      </c>
    </row>
    <row r="47" spans="1:44" ht="30" customHeight="1">
      <c r="A47" s="53">
        <v>40</v>
      </c>
      <c r="B47" s="19"/>
      <c r="C47" s="13"/>
      <c r="D47" s="13"/>
      <c r="E47" s="243"/>
      <c r="F47" s="243"/>
      <c r="G47" s="243"/>
      <c r="H47" s="243"/>
      <c r="I47" s="14"/>
      <c r="J47" s="14"/>
      <c r="K47" s="14"/>
      <c r="L47" s="14"/>
      <c r="M47" s="484"/>
      <c r="N47" s="485"/>
      <c r="O47" s="15"/>
      <c r="P47" s="15"/>
      <c r="Q47" s="13" t="str">
        <f t="shared" si="1"/>
        <v/>
      </c>
      <c r="R47" s="267" t="str">
        <f t="shared" si="2"/>
        <v/>
      </c>
      <c r="S47" s="186"/>
      <c r="T47" s="236"/>
      <c r="U47" s="237"/>
      <c r="Y47" s="33" t="str">
        <f t="shared" si="6"/>
        <v>OK</v>
      </c>
      <c r="AB47" s="247" t="e">
        <f>MATCH(E47, Data!$TA$2:$TA$4,0)</f>
        <v>#N/A</v>
      </c>
      <c r="AC47" s="247" t="e">
        <f>MATCH(F47,Data!$TB$1:$TK$1,0)</f>
        <v>#N/A</v>
      </c>
      <c r="AD47" s="247" t="e">
        <f>INDEX(Data!$TB$2:$TK$4,'Cellular Blinds'!AB47,'Cellular Blinds'!AC47)</f>
        <v>#N/A</v>
      </c>
      <c r="AF47" s="33" t="b">
        <f>IF(D47=Data!$UC$2,Data!$UD$1,IF(D47=Data!$UC$3,Data!$UE$1,IF(D47=Data!$UC$4,Data!$UF$1,IF(D47=Data!$UC$5,Data!$UG$1,IF(D47=Data!$UC$6,Data!$UH$1,IF(D47=Data!$UC$7,Data!$UI$1,IF(D47=Data!$UC$8,Data!$UJ$1,IF(D47=Data!$UC$9,Data!$UK$1,IF(D47=Data!$UC$10,Data!$UL$1,IF(D47=Data!$UC$11,Data!$UM$1,IF(D47=Data!$UC$12,Data!$UN$1,IF(D47=Data!$UC$13,Data!$UO$1))))))))))))</f>
        <v>0</v>
      </c>
      <c r="AG47" s="247" t="e">
        <f>MATCH(D47, Data!$UU$2:$UU$13,0)</f>
        <v>#N/A</v>
      </c>
      <c r="AH47" s="247" t="e">
        <f>MATCH(E47,Data!$UV$1:$UX$1,0)</f>
        <v>#N/A</v>
      </c>
      <c r="AI47" s="247" t="e">
        <f>INDEX(Data!$UV$2:$UX$13,'Cellular Blinds'!AG47,'Cellular Blinds'!AH47)</f>
        <v>#N/A</v>
      </c>
      <c r="AK47" s="247" t="e">
        <f>MATCH(E47, Data!$WY$2:$WY$4,0)</f>
        <v>#N/A</v>
      </c>
      <c r="AL47" s="247" t="e">
        <f>MATCH(F47,Data!$WZ$1:$XI$1,0)</f>
        <v>#N/A</v>
      </c>
      <c r="AM47" s="247" t="e">
        <f>INDEX(Data!$WZ$2:$XI$4,'Cellular Blinds'!AK47,'Cellular Blinds'!AL47)</f>
        <v>#N/A</v>
      </c>
      <c r="AN47" s="247" t="b">
        <f>IF(D47=Data!$XL$2,Data!$XM$1,IF(D47=Data!$XL$3,Data!$XN$1,IF(D47=Data!$XL$4,Data!$XO$1,IF(D47=Data!$XL$5,Data!$XP$1,IF(D47=Data!$XL$6,Data!$XQ$1,IF(D47=Data!$XL$7,Data!$XR$1,IF(D47=Data!$XL$8,Data!$XS$1,IF(D47=Data!$XL$9,Data!$XT$1,IF(D47=Data!$XL$10,Data!$XU$1,IF(D47=Data!$XL$11,Data!$XV$1,IF(D47=Data!$XL$12,Data!$XW$1,IF(D47=Data!$XL$13,Data!$XX$1))))))))))))</f>
        <v>0</v>
      </c>
      <c r="AO47" s="247" t="str">
        <f>IF(D47="","",IF(E47=Data!$XZ$2,VLOOKUP(D47,Data!$YB$2:$YC$13,2,FALSE),IF(E47=Data!$XZ$1,VLOOKUP(D47,Data!$YE$2:$YF$13,2,FALSE),IF(E47=Data!$XZ$3,VLOOKUP(D47,Data!$YG$2:$YH$13,2,FALSE)))))</f>
        <v/>
      </c>
      <c r="AP47" s="265" t="str">
        <f t="shared" si="3"/>
        <v/>
      </c>
      <c r="AQ47" s="265" t="str">
        <f t="shared" si="4"/>
        <v/>
      </c>
      <c r="AR47" s="247" t="str">
        <f t="shared" si="5"/>
        <v/>
      </c>
    </row>
    <row r="48" spans="1:44" ht="30" customHeight="1">
      <c r="A48" s="53">
        <v>41</v>
      </c>
      <c r="B48" s="13"/>
      <c r="C48" s="13"/>
      <c r="D48" s="13"/>
      <c r="E48" s="243"/>
      <c r="F48" s="243"/>
      <c r="G48" s="243"/>
      <c r="H48" s="243"/>
      <c r="I48" s="14"/>
      <c r="J48" s="14"/>
      <c r="K48" s="14"/>
      <c r="L48" s="14"/>
      <c r="M48" s="484"/>
      <c r="N48" s="485"/>
      <c r="O48" s="15"/>
      <c r="P48" s="15"/>
      <c r="Q48" s="13" t="str">
        <f t="shared" si="1"/>
        <v/>
      </c>
      <c r="R48" s="267" t="str">
        <f t="shared" si="2"/>
        <v/>
      </c>
      <c r="S48" s="186"/>
      <c r="T48" s="236"/>
      <c r="U48" s="237"/>
      <c r="Y48" s="33" t="str">
        <f t="shared" si="6"/>
        <v>OK</v>
      </c>
      <c r="AB48" s="247" t="e">
        <f>MATCH(E48, Data!$TA$2:$TA$4,0)</f>
        <v>#N/A</v>
      </c>
      <c r="AC48" s="247" t="e">
        <f>MATCH(F48,Data!$TB$1:$TK$1,0)</f>
        <v>#N/A</v>
      </c>
      <c r="AD48" s="247" t="e">
        <f>INDEX(Data!$TB$2:$TK$4,'Cellular Blinds'!AB48,'Cellular Blinds'!AC48)</f>
        <v>#N/A</v>
      </c>
      <c r="AF48" s="33" t="b">
        <f>IF(D48=Data!$UC$2,Data!$UD$1,IF(D48=Data!$UC$3,Data!$UE$1,IF(D48=Data!$UC$4,Data!$UF$1,IF(D48=Data!$UC$5,Data!$UG$1,IF(D48=Data!$UC$6,Data!$UH$1,IF(D48=Data!$UC$7,Data!$UI$1,IF(D48=Data!$UC$8,Data!$UJ$1,IF(D48=Data!$UC$9,Data!$UK$1,IF(D48=Data!$UC$10,Data!$UL$1,IF(D48=Data!$UC$11,Data!$UM$1,IF(D48=Data!$UC$12,Data!$UN$1,IF(D48=Data!$UC$13,Data!$UO$1))))))))))))</f>
        <v>0</v>
      </c>
      <c r="AG48" s="247" t="e">
        <f>MATCH(D48, Data!$UU$2:$UU$13,0)</f>
        <v>#N/A</v>
      </c>
      <c r="AH48" s="247" t="e">
        <f>MATCH(E48,Data!$UV$1:$UX$1,0)</f>
        <v>#N/A</v>
      </c>
      <c r="AI48" s="247" t="e">
        <f>INDEX(Data!$UV$2:$UX$13,'Cellular Blinds'!AG48,'Cellular Blinds'!AH48)</f>
        <v>#N/A</v>
      </c>
      <c r="AK48" s="247" t="e">
        <f>MATCH(E48, Data!$WY$2:$WY$4,0)</f>
        <v>#N/A</v>
      </c>
      <c r="AL48" s="247" t="e">
        <f>MATCH(F48,Data!$WZ$1:$XI$1,0)</f>
        <v>#N/A</v>
      </c>
      <c r="AM48" s="247" t="e">
        <f>INDEX(Data!$WZ$2:$XI$4,'Cellular Blinds'!AK48,'Cellular Blinds'!AL48)</f>
        <v>#N/A</v>
      </c>
      <c r="AN48" s="247" t="b">
        <f>IF(D48=Data!$XL$2,Data!$XM$1,IF(D48=Data!$XL$3,Data!$XN$1,IF(D48=Data!$XL$4,Data!$XO$1,IF(D48=Data!$XL$5,Data!$XP$1,IF(D48=Data!$XL$6,Data!$XQ$1,IF(D48=Data!$XL$7,Data!$XR$1,IF(D48=Data!$XL$8,Data!$XS$1,IF(D48=Data!$XL$9,Data!$XT$1,IF(D48=Data!$XL$10,Data!$XU$1,IF(D48=Data!$XL$11,Data!$XV$1,IF(D48=Data!$XL$12,Data!$XW$1,IF(D48=Data!$XL$13,Data!$XX$1))))))))))))</f>
        <v>0</v>
      </c>
      <c r="AO48" s="247" t="str">
        <f>IF(D48="","",IF(E48=Data!$XZ$2,VLOOKUP(D48,Data!$YB$2:$YC$13,2,FALSE),IF(E48=Data!$XZ$1,VLOOKUP(D48,Data!$YE$2:$YF$13,2,FALSE),IF(E48=Data!$XZ$3,VLOOKUP(D48,Data!$YG$2:$YH$13,2,FALSE)))))</f>
        <v/>
      </c>
      <c r="AP48" s="265" t="str">
        <f t="shared" si="3"/>
        <v/>
      </c>
      <c r="AQ48" s="265" t="str">
        <f t="shared" si="4"/>
        <v/>
      </c>
      <c r="AR48" s="247" t="str">
        <f t="shared" si="5"/>
        <v/>
      </c>
    </row>
    <row r="49" spans="1:44" ht="30" customHeight="1">
      <c r="A49" s="53">
        <v>42</v>
      </c>
      <c r="B49" s="13"/>
      <c r="C49" s="13"/>
      <c r="D49" s="13"/>
      <c r="E49" s="243"/>
      <c r="F49" s="243"/>
      <c r="G49" s="243"/>
      <c r="H49" s="243"/>
      <c r="I49" s="14"/>
      <c r="J49" s="14"/>
      <c r="K49" s="14"/>
      <c r="L49" s="14"/>
      <c r="M49" s="484"/>
      <c r="N49" s="485"/>
      <c r="O49" s="15"/>
      <c r="P49" s="15"/>
      <c r="Q49" s="13" t="str">
        <f t="shared" si="1"/>
        <v/>
      </c>
      <c r="R49" s="267" t="str">
        <f t="shared" si="2"/>
        <v/>
      </c>
      <c r="S49" s="186"/>
      <c r="T49" s="236"/>
      <c r="U49" s="237"/>
      <c r="Y49" s="33" t="str">
        <f t="shared" si="6"/>
        <v>OK</v>
      </c>
      <c r="AB49" s="247" t="e">
        <f>MATCH(E49, Data!$TA$2:$TA$4,0)</f>
        <v>#N/A</v>
      </c>
      <c r="AC49" s="247" t="e">
        <f>MATCH(F49,Data!$TB$1:$TK$1,0)</f>
        <v>#N/A</v>
      </c>
      <c r="AD49" s="247" t="e">
        <f>INDEX(Data!$TB$2:$TK$4,'Cellular Blinds'!AB49,'Cellular Blinds'!AC49)</f>
        <v>#N/A</v>
      </c>
      <c r="AF49" s="33" t="b">
        <f>IF(D49=Data!$UC$2,Data!$UD$1,IF(D49=Data!$UC$3,Data!$UE$1,IF(D49=Data!$UC$4,Data!$UF$1,IF(D49=Data!$UC$5,Data!$UG$1,IF(D49=Data!$UC$6,Data!$UH$1,IF(D49=Data!$UC$7,Data!$UI$1,IF(D49=Data!$UC$8,Data!$UJ$1,IF(D49=Data!$UC$9,Data!$UK$1,IF(D49=Data!$UC$10,Data!$UL$1,IF(D49=Data!$UC$11,Data!$UM$1,IF(D49=Data!$UC$12,Data!$UN$1,IF(D49=Data!$UC$13,Data!$UO$1))))))))))))</f>
        <v>0</v>
      </c>
      <c r="AG49" s="247" t="e">
        <f>MATCH(D49, Data!$UU$2:$UU$13,0)</f>
        <v>#N/A</v>
      </c>
      <c r="AH49" s="247" t="e">
        <f>MATCH(E49,Data!$UV$1:$UX$1,0)</f>
        <v>#N/A</v>
      </c>
      <c r="AI49" s="247" t="e">
        <f>INDEX(Data!$UV$2:$UX$13,'Cellular Blinds'!AG49,'Cellular Blinds'!AH49)</f>
        <v>#N/A</v>
      </c>
      <c r="AK49" s="247" t="e">
        <f>MATCH(E49, Data!$WY$2:$WY$4,0)</f>
        <v>#N/A</v>
      </c>
      <c r="AL49" s="247" t="e">
        <f>MATCH(F49,Data!$WZ$1:$XI$1,0)</f>
        <v>#N/A</v>
      </c>
      <c r="AM49" s="247" t="e">
        <f>INDEX(Data!$WZ$2:$XI$4,'Cellular Blinds'!AK49,'Cellular Blinds'!AL49)</f>
        <v>#N/A</v>
      </c>
      <c r="AN49" s="247" t="b">
        <f>IF(D49=Data!$XL$2,Data!$XM$1,IF(D49=Data!$XL$3,Data!$XN$1,IF(D49=Data!$XL$4,Data!$XO$1,IF(D49=Data!$XL$5,Data!$XP$1,IF(D49=Data!$XL$6,Data!$XQ$1,IF(D49=Data!$XL$7,Data!$XR$1,IF(D49=Data!$XL$8,Data!$XS$1,IF(D49=Data!$XL$9,Data!$XT$1,IF(D49=Data!$XL$10,Data!$XU$1,IF(D49=Data!$XL$11,Data!$XV$1,IF(D49=Data!$XL$12,Data!$XW$1,IF(D49=Data!$XL$13,Data!$XX$1))))))))))))</f>
        <v>0</v>
      </c>
      <c r="AO49" s="247" t="str">
        <f>IF(D49="","",IF(E49=Data!$XZ$2,VLOOKUP(D49,Data!$YB$2:$YC$13,2,FALSE),IF(E49=Data!$XZ$1,VLOOKUP(D49,Data!$YE$2:$YF$13,2,FALSE),IF(E49=Data!$XZ$3,VLOOKUP(D49,Data!$YG$2:$YH$13,2,FALSE)))))</f>
        <v/>
      </c>
      <c r="AP49" s="265" t="str">
        <f t="shared" si="3"/>
        <v/>
      </c>
      <c r="AQ49" s="265" t="str">
        <f t="shared" si="4"/>
        <v/>
      </c>
      <c r="AR49" s="247" t="str">
        <f t="shared" si="5"/>
        <v/>
      </c>
    </row>
    <row r="50" spans="1:44" ht="30" customHeight="1">
      <c r="A50" s="53">
        <v>43</v>
      </c>
      <c r="B50" s="13"/>
      <c r="C50" s="13"/>
      <c r="D50" s="13"/>
      <c r="E50" s="243"/>
      <c r="F50" s="243"/>
      <c r="G50" s="243"/>
      <c r="H50" s="243"/>
      <c r="I50" s="14"/>
      <c r="J50" s="14"/>
      <c r="K50" s="14"/>
      <c r="L50" s="14"/>
      <c r="M50" s="484"/>
      <c r="N50" s="485"/>
      <c r="O50" s="15"/>
      <c r="P50" s="15"/>
      <c r="Q50" s="13" t="str">
        <f t="shared" si="1"/>
        <v/>
      </c>
      <c r="R50" s="267" t="str">
        <f t="shared" si="2"/>
        <v/>
      </c>
      <c r="S50" s="186"/>
      <c r="T50" s="236"/>
      <c r="U50" s="237"/>
      <c r="Y50" s="33" t="str">
        <f t="shared" si="6"/>
        <v>OK</v>
      </c>
      <c r="AB50" s="247" t="e">
        <f>MATCH(E50, Data!$TA$2:$TA$4,0)</f>
        <v>#N/A</v>
      </c>
      <c r="AC50" s="247" t="e">
        <f>MATCH(F50,Data!$TB$1:$TK$1,0)</f>
        <v>#N/A</v>
      </c>
      <c r="AD50" s="247" t="e">
        <f>INDEX(Data!$TB$2:$TK$4,'Cellular Blinds'!AB50,'Cellular Blinds'!AC50)</f>
        <v>#N/A</v>
      </c>
      <c r="AF50" s="33" t="b">
        <f>IF(D50=Data!$UC$2,Data!$UD$1,IF(D50=Data!$UC$3,Data!$UE$1,IF(D50=Data!$UC$4,Data!$UF$1,IF(D50=Data!$UC$5,Data!$UG$1,IF(D50=Data!$UC$6,Data!$UH$1,IF(D50=Data!$UC$7,Data!$UI$1,IF(D50=Data!$UC$8,Data!$UJ$1,IF(D50=Data!$UC$9,Data!$UK$1,IF(D50=Data!$UC$10,Data!$UL$1,IF(D50=Data!$UC$11,Data!$UM$1,IF(D50=Data!$UC$12,Data!$UN$1,IF(D50=Data!$UC$13,Data!$UO$1))))))))))))</f>
        <v>0</v>
      </c>
      <c r="AG50" s="247" t="e">
        <f>MATCH(D50, Data!$UU$2:$UU$13,0)</f>
        <v>#N/A</v>
      </c>
      <c r="AH50" s="247" t="e">
        <f>MATCH(E50,Data!$UV$1:$UX$1,0)</f>
        <v>#N/A</v>
      </c>
      <c r="AI50" s="247" t="e">
        <f>INDEX(Data!$UV$2:$UX$13,'Cellular Blinds'!AG50,'Cellular Blinds'!AH50)</f>
        <v>#N/A</v>
      </c>
      <c r="AK50" s="247" t="e">
        <f>MATCH(E50, Data!$WY$2:$WY$4,0)</f>
        <v>#N/A</v>
      </c>
      <c r="AL50" s="247" t="e">
        <f>MATCH(F50,Data!$WZ$1:$XI$1,0)</f>
        <v>#N/A</v>
      </c>
      <c r="AM50" s="247" t="e">
        <f>INDEX(Data!$WZ$2:$XI$4,'Cellular Blinds'!AK50,'Cellular Blinds'!AL50)</f>
        <v>#N/A</v>
      </c>
      <c r="AN50" s="247" t="b">
        <f>IF(D50=Data!$XL$2,Data!$XM$1,IF(D50=Data!$XL$3,Data!$XN$1,IF(D50=Data!$XL$4,Data!$XO$1,IF(D50=Data!$XL$5,Data!$XP$1,IF(D50=Data!$XL$6,Data!$XQ$1,IF(D50=Data!$XL$7,Data!$XR$1,IF(D50=Data!$XL$8,Data!$XS$1,IF(D50=Data!$XL$9,Data!$XT$1,IF(D50=Data!$XL$10,Data!$XU$1,IF(D50=Data!$XL$11,Data!$XV$1,IF(D50=Data!$XL$12,Data!$XW$1,IF(D50=Data!$XL$13,Data!$XX$1))))))))))))</f>
        <v>0</v>
      </c>
      <c r="AO50" s="247" t="str">
        <f>IF(D50="","",IF(E50=Data!$XZ$2,VLOOKUP(D50,Data!$YB$2:$YC$13,2,FALSE),IF(E50=Data!$XZ$1,VLOOKUP(D50,Data!$YE$2:$YF$13,2,FALSE),IF(E50=Data!$XZ$3,VLOOKUP(D50,Data!$YG$2:$YH$13,2,FALSE)))))</f>
        <v/>
      </c>
      <c r="AP50" s="265" t="str">
        <f t="shared" si="3"/>
        <v/>
      </c>
      <c r="AQ50" s="265" t="str">
        <f t="shared" si="4"/>
        <v/>
      </c>
      <c r="AR50" s="247" t="str">
        <f t="shared" si="5"/>
        <v/>
      </c>
    </row>
    <row r="51" spans="1:44" ht="30" customHeight="1">
      <c r="A51" s="53">
        <v>44</v>
      </c>
      <c r="B51" s="13"/>
      <c r="C51" s="13"/>
      <c r="D51" s="13"/>
      <c r="E51" s="243"/>
      <c r="F51" s="243"/>
      <c r="G51" s="243"/>
      <c r="H51" s="243"/>
      <c r="I51" s="14"/>
      <c r="J51" s="14"/>
      <c r="K51" s="14"/>
      <c r="L51" s="14"/>
      <c r="M51" s="484"/>
      <c r="N51" s="485"/>
      <c r="O51" s="15"/>
      <c r="P51" s="15"/>
      <c r="Q51" s="13" t="str">
        <f t="shared" si="1"/>
        <v/>
      </c>
      <c r="R51" s="267" t="str">
        <f t="shared" si="2"/>
        <v/>
      </c>
      <c r="S51" s="186"/>
      <c r="T51" s="236"/>
      <c r="U51" s="237"/>
      <c r="Y51" s="33" t="str">
        <f t="shared" si="6"/>
        <v>OK</v>
      </c>
      <c r="AB51" s="247" t="e">
        <f>MATCH(E51, Data!$TA$2:$TA$4,0)</f>
        <v>#N/A</v>
      </c>
      <c r="AC51" s="247" t="e">
        <f>MATCH(F51,Data!$TB$1:$TK$1,0)</f>
        <v>#N/A</v>
      </c>
      <c r="AD51" s="247" t="e">
        <f>INDEX(Data!$TB$2:$TK$4,'Cellular Blinds'!AB51,'Cellular Blinds'!AC51)</f>
        <v>#N/A</v>
      </c>
      <c r="AF51" s="33" t="b">
        <f>IF(D51=Data!$UC$2,Data!$UD$1,IF(D51=Data!$UC$3,Data!$UE$1,IF(D51=Data!$UC$4,Data!$UF$1,IF(D51=Data!$UC$5,Data!$UG$1,IF(D51=Data!$UC$6,Data!$UH$1,IF(D51=Data!$UC$7,Data!$UI$1,IF(D51=Data!$UC$8,Data!$UJ$1,IF(D51=Data!$UC$9,Data!$UK$1,IF(D51=Data!$UC$10,Data!$UL$1,IF(D51=Data!$UC$11,Data!$UM$1,IF(D51=Data!$UC$12,Data!$UN$1,IF(D51=Data!$UC$13,Data!$UO$1))))))))))))</f>
        <v>0</v>
      </c>
      <c r="AG51" s="247" t="e">
        <f>MATCH(D51, Data!$UU$2:$UU$13,0)</f>
        <v>#N/A</v>
      </c>
      <c r="AH51" s="247" t="e">
        <f>MATCH(E51,Data!$UV$1:$UX$1,0)</f>
        <v>#N/A</v>
      </c>
      <c r="AI51" s="247" t="e">
        <f>INDEX(Data!$UV$2:$UX$13,'Cellular Blinds'!AG51,'Cellular Blinds'!AH51)</f>
        <v>#N/A</v>
      </c>
      <c r="AK51" s="247" t="e">
        <f>MATCH(E51, Data!$WY$2:$WY$4,0)</f>
        <v>#N/A</v>
      </c>
      <c r="AL51" s="247" t="e">
        <f>MATCH(F51,Data!$WZ$1:$XI$1,0)</f>
        <v>#N/A</v>
      </c>
      <c r="AM51" s="247" t="e">
        <f>INDEX(Data!$WZ$2:$XI$4,'Cellular Blinds'!AK51,'Cellular Blinds'!AL51)</f>
        <v>#N/A</v>
      </c>
      <c r="AN51" s="247" t="b">
        <f>IF(D51=Data!$XL$2,Data!$XM$1,IF(D51=Data!$XL$3,Data!$XN$1,IF(D51=Data!$XL$4,Data!$XO$1,IF(D51=Data!$XL$5,Data!$XP$1,IF(D51=Data!$XL$6,Data!$XQ$1,IF(D51=Data!$XL$7,Data!$XR$1,IF(D51=Data!$XL$8,Data!$XS$1,IF(D51=Data!$XL$9,Data!$XT$1,IF(D51=Data!$XL$10,Data!$XU$1,IF(D51=Data!$XL$11,Data!$XV$1,IF(D51=Data!$XL$12,Data!$XW$1,IF(D51=Data!$XL$13,Data!$XX$1))))))))))))</f>
        <v>0</v>
      </c>
      <c r="AO51" s="247" t="str">
        <f>IF(D51="","",IF(E51=Data!$XZ$2,VLOOKUP(D51,Data!$YB$2:$YC$13,2,FALSE),IF(E51=Data!$XZ$1,VLOOKUP(D51,Data!$YE$2:$YF$13,2,FALSE),IF(E51=Data!$XZ$3,VLOOKUP(D51,Data!$YG$2:$YH$13,2,FALSE)))))</f>
        <v/>
      </c>
      <c r="AP51" s="265" t="str">
        <f t="shared" si="3"/>
        <v/>
      </c>
      <c r="AQ51" s="265" t="str">
        <f t="shared" si="4"/>
        <v/>
      </c>
      <c r="AR51" s="247" t="str">
        <f t="shared" si="5"/>
        <v/>
      </c>
    </row>
    <row r="52" spans="1:44" ht="30" customHeight="1">
      <c r="A52" s="53">
        <v>45</v>
      </c>
      <c r="B52" s="13"/>
      <c r="C52" s="13"/>
      <c r="D52" s="13"/>
      <c r="E52" s="243"/>
      <c r="F52" s="243"/>
      <c r="G52" s="243"/>
      <c r="H52" s="243"/>
      <c r="I52" s="14"/>
      <c r="J52" s="14"/>
      <c r="K52" s="14"/>
      <c r="L52" s="14"/>
      <c r="M52" s="484"/>
      <c r="N52" s="485"/>
      <c r="O52" s="15"/>
      <c r="P52" s="15"/>
      <c r="Q52" s="13" t="str">
        <f t="shared" si="1"/>
        <v/>
      </c>
      <c r="R52" s="267" t="str">
        <f t="shared" si="2"/>
        <v/>
      </c>
      <c r="S52" s="186"/>
      <c r="T52" s="236"/>
      <c r="U52" s="237"/>
      <c r="Y52" s="33" t="str">
        <f t="shared" si="6"/>
        <v>OK</v>
      </c>
      <c r="AB52" s="247" t="e">
        <f>MATCH(E52, Data!$TA$2:$TA$4,0)</f>
        <v>#N/A</v>
      </c>
      <c r="AC52" s="247" t="e">
        <f>MATCH(F52,Data!$TB$1:$TK$1,0)</f>
        <v>#N/A</v>
      </c>
      <c r="AD52" s="247" t="e">
        <f>INDEX(Data!$TB$2:$TK$4,'Cellular Blinds'!AB52,'Cellular Blinds'!AC52)</f>
        <v>#N/A</v>
      </c>
      <c r="AF52" s="33" t="b">
        <f>IF(D52=Data!$UC$2,Data!$UD$1,IF(D52=Data!$UC$3,Data!$UE$1,IF(D52=Data!$UC$4,Data!$UF$1,IF(D52=Data!$UC$5,Data!$UG$1,IF(D52=Data!$UC$6,Data!$UH$1,IF(D52=Data!$UC$7,Data!$UI$1,IF(D52=Data!$UC$8,Data!$UJ$1,IF(D52=Data!$UC$9,Data!$UK$1,IF(D52=Data!$UC$10,Data!$UL$1,IF(D52=Data!$UC$11,Data!$UM$1,IF(D52=Data!$UC$12,Data!$UN$1,IF(D52=Data!$UC$13,Data!$UO$1))))))))))))</f>
        <v>0</v>
      </c>
      <c r="AG52" s="247" t="e">
        <f>MATCH(D52, Data!$UU$2:$UU$13,0)</f>
        <v>#N/A</v>
      </c>
      <c r="AH52" s="247" t="e">
        <f>MATCH(E52,Data!$UV$1:$UX$1,0)</f>
        <v>#N/A</v>
      </c>
      <c r="AI52" s="247" t="e">
        <f>INDEX(Data!$UV$2:$UX$13,'Cellular Blinds'!AG52,'Cellular Blinds'!AH52)</f>
        <v>#N/A</v>
      </c>
      <c r="AK52" s="247" t="e">
        <f>MATCH(E52, Data!$WY$2:$WY$4,0)</f>
        <v>#N/A</v>
      </c>
      <c r="AL52" s="247" t="e">
        <f>MATCH(F52,Data!$WZ$1:$XI$1,0)</f>
        <v>#N/A</v>
      </c>
      <c r="AM52" s="247" t="e">
        <f>INDEX(Data!$WZ$2:$XI$4,'Cellular Blinds'!AK52,'Cellular Blinds'!AL52)</f>
        <v>#N/A</v>
      </c>
      <c r="AN52" s="247" t="b">
        <f>IF(D52=Data!$XL$2,Data!$XM$1,IF(D52=Data!$XL$3,Data!$XN$1,IF(D52=Data!$XL$4,Data!$XO$1,IF(D52=Data!$XL$5,Data!$XP$1,IF(D52=Data!$XL$6,Data!$XQ$1,IF(D52=Data!$XL$7,Data!$XR$1,IF(D52=Data!$XL$8,Data!$XS$1,IF(D52=Data!$XL$9,Data!$XT$1,IF(D52=Data!$XL$10,Data!$XU$1,IF(D52=Data!$XL$11,Data!$XV$1,IF(D52=Data!$XL$12,Data!$XW$1,IF(D52=Data!$XL$13,Data!$XX$1))))))))))))</f>
        <v>0</v>
      </c>
      <c r="AO52" s="247" t="str">
        <f>IF(D52="","",IF(E52=Data!$XZ$2,VLOOKUP(D52,Data!$YB$2:$YC$13,2,FALSE),IF(E52=Data!$XZ$1,VLOOKUP(D52,Data!$YE$2:$YF$13,2,FALSE),IF(E52=Data!$XZ$3,VLOOKUP(D52,Data!$YG$2:$YH$13,2,FALSE)))))</f>
        <v/>
      </c>
      <c r="AP52" s="265" t="str">
        <f t="shared" si="3"/>
        <v/>
      </c>
      <c r="AQ52" s="265" t="str">
        <f t="shared" si="4"/>
        <v/>
      </c>
      <c r="AR52" s="247" t="str">
        <f t="shared" si="5"/>
        <v/>
      </c>
    </row>
    <row r="53" spans="1:44" ht="30" customHeight="1">
      <c r="A53" s="53">
        <v>46</v>
      </c>
      <c r="B53" s="19"/>
      <c r="C53" s="13"/>
      <c r="D53" s="13"/>
      <c r="E53" s="243"/>
      <c r="F53" s="243"/>
      <c r="G53" s="243"/>
      <c r="H53" s="243"/>
      <c r="I53" s="14"/>
      <c r="J53" s="14"/>
      <c r="K53" s="14"/>
      <c r="L53" s="14"/>
      <c r="M53" s="484"/>
      <c r="N53" s="485"/>
      <c r="O53" s="15"/>
      <c r="P53" s="15"/>
      <c r="Q53" s="13" t="str">
        <f t="shared" si="1"/>
        <v/>
      </c>
      <c r="R53" s="267" t="str">
        <f t="shared" si="2"/>
        <v/>
      </c>
      <c r="S53" s="186"/>
      <c r="T53" s="236"/>
      <c r="U53" s="237"/>
      <c r="Y53" s="33" t="str">
        <f t="shared" si="6"/>
        <v>OK</v>
      </c>
      <c r="AB53" s="247" t="e">
        <f>MATCH(E53, Data!$TA$2:$TA$4,0)</f>
        <v>#N/A</v>
      </c>
      <c r="AC53" s="247" t="e">
        <f>MATCH(F53,Data!$TB$1:$TK$1,0)</f>
        <v>#N/A</v>
      </c>
      <c r="AD53" s="247" t="e">
        <f>INDEX(Data!$TB$2:$TK$4,'Cellular Blinds'!AB53,'Cellular Blinds'!AC53)</f>
        <v>#N/A</v>
      </c>
      <c r="AF53" s="33" t="b">
        <f>IF(D53=Data!$UC$2,Data!$UD$1,IF(D53=Data!$UC$3,Data!$UE$1,IF(D53=Data!$UC$4,Data!$UF$1,IF(D53=Data!$UC$5,Data!$UG$1,IF(D53=Data!$UC$6,Data!$UH$1,IF(D53=Data!$UC$7,Data!$UI$1,IF(D53=Data!$UC$8,Data!$UJ$1,IF(D53=Data!$UC$9,Data!$UK$1,IF(D53=Data!$UC$10,Data!$UL$1,IF(D53=Data!$UC$11,Data!$UM$1,IF(D53=Data!$UC$12,Data!$UN$1,IF(D53=Data!$UC$13,Data!$UO$1))))))))))))</f>
        <v>0</v>
      </c>
      <c r="AG53" s="247" t="e">
        <f>MATCH(D53, Data!$UU$2:$UU$13,0)</f>
        <v>#N/A</v>
      </c>
      <c r="AH53" s="247" t="e">
        <f>MATCH(E53,Data!$UV$1:$UX$1,0)</f>
        <v>#N/A</v>
      </c>
      <c r="AI53" s="247" t="e">
        <f>INDEX(Data!$UV$2:$UX$13,'Cellular Blinds'!AG53,'Cellular Blinds'!AH53)</f>
        <v>#N/A</v>
      </c>
      <c r="AK53" s="247" t="e">
        <f>MATCH(E53, Data!$WY$2:$WY$4,0)</f>
        <v>#N/A</v>
      </c>
      <c r="AL53" s="247" t="e">
        <f>MATCH(F53,Data!$WZ$1:$XI$1,0)</f>
        <v>#N/A</v>
      </c>
      <c r="AM53" s="247" t="e">
        <f>INDEX(Data!$WZ$2:$XI$4,'Cellular Blinds'!AK53,'Cellular Blinds'!AL53)</f>
        <v>#N/A</v>
      </c>
      <c r="AN53" s="247" t="b">
        <f>IF(D53=Data!$XL$2,Data!$XM$1,IF(D53=Data!$XL$3,Data!$XN$1,IF(D53=Data!$XL$4,Data!$XO$1,IF(D53=Data!$XL$5,Data!$XP$1,IF(D53=Data!$XL$6,Data!$XQ$1,IF(D53=Data!$XL$7,Data!$XR$1,IF(D53=Data!$XL$8,Data!$XS$1,IF(D53=Data!$XL$9,Data!$XT$1,IF(D53=Data!$XL$10,Data!$XU$1,IF(D53=Data!$XL$11,Data!$XV$1,IF(D53=Data!$XL$12,Data!$XW$1,IF(D53=Data!$XL$13,Data!$XX$1))))))))))))</f>
        <v>0</v>
      </c>
      <c r="AO53" s="247" t="str">
        <f>IF(D53="","",IF(E53=Data!$XZ$2,VLOOKUP(D53,Data!$YB$2:$YC$13,2,FALSE),IF(E53=Data!$XZ$1,VLOOKUP(D53,Data!$YE$2:$YF$13,2,FALSE),IF(E53=Data!$XZ$3,VLOOKUP(D53,Data!$YG$2:$YH$13,2,FALSE)))))</f>
        <v/>
      </c>
      <c r="AP53" s="265" t="str">
        <f t="shared" si="3"/>
        <v/>
      </c>
      <c r="AQ53" s="265" t="str">
        <f t="shared" si="4"/>
        <v/>
      </c>
      <c r="AR53" s="247" t="str">
        <f t="shared" si="5"/>
        <v/>
      </c>
    </row>
    <row r="54" spans="1:44" ht="30" customHeight="1">
      <c r="A54" s="53">
        <v>47</v>
      </c>
      <c r="B54" s="13"/>
      <c r="C54" s="13"/>
      <c r="D54" s="13"/>
      <c r="E54" s="243"/>
      <c r="F54" s="243"/>
      <c r="G54" s="243"/>
      <c r="H54" s="243"/>
      <c r="I54" s="14"/>
      <c r="J54" s="14"/>
      <c r="K54" s="14"/>
      <c r="L54" s="14"/>
      <c r="M54" s="484"/>
      <c r="N54" s="485"/>
      <c r="O54" s="15"/>
      <c r="P54" s="15"/>
      <c r="Q54" s="13" t="str">
        <f t="shared" si="1"/>
        <v/>
      </c>
      <c r="R54" s="267" t="str">
        <f t="shared" si="2"/>
        <v/>
      </c>
      <c r="S54" s="186"/>
      <c r="T54" s="236"/>
      <c r="U54" s="237"/>
      <c r="Y54" s="33" t="str">
        <f t="shared" si="6"/>
        <v>OK</v>
      </c>
      <c r="AB54" s="247" t="e">
        <f>MATCH(E54, Data!$TA$2:$TA$4,0)</f>
        <v>#N/A</v>
      </c>
      <c r="AC54" s="247" t="e">
        <f>MATCH(F54,Data!$TB$1:$TK$1,0)</f>
        <v>#N/A</v>
      </c>
      <c r="AD54" s="247" t="e">
        <f>INDEX(Data!$TB$2:$TK$4,'Cellular Blinds'!AB54,'Cellular Blinds'!AC54)</f>
        <v>#N/A</v>
      </c>
      <c r="AF54" s="33" t="b">
        <f>IF(D54=Data!$UC$2,Data!$UD$1,IF(D54=Data!$UC$3,Data!$UE$1,IF(D54=Data!$UC$4,Data!$UF$1,IF(D54=Data!$UC$5,Data!$UG$1,IF(D54=Data!$UC$6,Data!$UH$1,IF(D54=Data!$UC$7,Data!$UI$1,IF(D54=Data!$UC$8,Data!$UJ$1,IF(D54=Data!$UC$9,Data!$UK$1,IF(D54=Data!$UC$10,Data!$UL$1,IF(D54=Data!$UC$11,Data!$UM$1,IF(D54=Data!$UC$12,Data!$UN$1,IF(D54=Data!$UC$13,Data!$UO$1))))))))))))</f>
        <v>0</v>
      </c>
      <c r="AG54" s="247" t="e">
        <f>MATCH(D54, Data!$UU$2:$UU$13,0)</f>
        <v>#N/A</v>
      </c>
      <c r="AH54" s="247" t="e">
        <f>MATCH(E54,Data!$UV$1:$UX$1,0)</f>
        <v>#N/A</v>
      </c>
      <c r="AI54" s="247" t="e">
        <f>INDEX(Data!$UV$2:$UX$13,'Cellular Blinds'!AG54,'Cellular Blinds'!AH54)</f>
        <v>#N/A</v>
      </c>
      <c r="AK54" s="247" t="e">
        <f>MATCH(E54, Data!$WY$2:$WY$4,0)</f>
        <v>#N/A</v>
      </c>
      <c r="AL54" s="247" t="e">
        <f>MATCH(F54,Data!$WZ$1:$XI$1,0)</f>
        <v>#N/A</v>
      </c>
      <c r="AM54" s="247" t="e">
        <f>INDEX(Data!$WZ$2:$XI$4,'Cellular Blinds'!AK54,'Cellular Blinds'!AL54)</f>
        <v>#N/A</v>
      </c>
      <c r="AN54" s="247" t="b">
        <f>IF(D54=Data!$XL$2,Data!$XM$1,IF(D54=Data!$XL$3,Data!$XN$1,IF(D54=Data!$XL$4,Data!$XO$1,IF(D54=Data!$XL$5,Data!$XP$1,IF(D54=Data!$XL$6,Data!$XQ$1,IF(D54=Data!$XL$7,Data!$XR$1,IF(D54=Data!$XL$8,Data!$XS$1,IF(D54=Data!$XL$9,Data!$XT$1,IF(D54=Data!$XL$10,Data!$XU$1,IF(D54=Data!$XL$11,Data!$XV$1,IF(D54=Data!$XL$12,Data!$XW$1,IF(D54=Data!$XL$13,Data!$XX$1))))))))))))</f>
        <v>0</v>
      </c>
      <c r="AO54" s="247" t="str">
        <f>IF(D54="","",IF(E54=Data!$XZ$2,VLOOKUP(D54,Data!$YB$2:$YC$13,2,FALSE),IF(E54=Data!$XZ$1,VLOOKUP(D54,Data!$YE$2:$YF$13,2,FALSE),IF(E54=Data!$XZ$3,VLOOKUP(D54,Data!$YG$2:$YH$13,2,FALSE)))))</f>
        <v/>
      </c>
      <c r="AP54" s="265" t="str">
        <f t="shared" si="3"/>
        <v/>
      </c>
      <c r="AQ54" s="265" t="str">
        <f t="shared" si="4"/>
        <v/>
      </c>
      <c r="AR54" s="247" t="str">
        <f t="shared" si="5"/>
        <v/>
      </c>
    </row>
    <row r="55" spans="1:44" ht="30" customHeight="1">
      <c r="A55" s="53">
        <v>48</v>
      </c>
      <c r="B55" s="13"/>
      <c r="C55" s="13"/>
      <c r="D55" s="13"/>
      <c r="E55" s="243"/>
      <c r="F55" s="243"/>
      <c r="G55" s="243"/>
      <c r="H55" s="243"/>
      <c r="I55" s="14"/>
      <c r="J55" s="14"/>
      <c r="K55" s="14"/>
      <c r="L55" s="14"/>
      <c r="M55" s="484"/>
      <c r="N55" s="485"/>
      <c r="O55" s="15"/>
      <c r="P55" s="15"/>
      <c r="Q55" s="13" t="str">
        <f t="shared" si="1"/>
        <v/>
      </c>
      <c r="R55" s="267" t="str">
        <f t="shared" si="2"/>
        <v/>
      </c>
      <c r="S55" s="186"/>
      <c r="T55" s="236"/>
      <c r="U55" s="237"/>
      <c r="Y55" s="33" t="str">
        <f t="shared" si="6"/>
        <v>OK</v>
      </c>
      <c r="AB55" s="247" t="e">
        <f>MATCH(E55, Data!$TA$2:$TA$4,0)</f>
        <v>#N/A</v>
      </c>
      <c r="AC55" s="247" t="e">
        <f>MATCH(F55,Data!$TB$1:$TK$1,0)</f>
        <v>#N/A</v>
      </c>
      <c r="AD55" s="247" t="e">
        <f>INDEX(Data!$TB$2:$TK$4,'Cellular Blinds'!AB55,'Cellular Blinds'!AC55)</f>
        <v>#N/A</v>
      </c>
      <c r="AF55" s="33" t="b">
        <f>IF(D55=Data!$UC$2,Data!$UD$1,IF(D55=Data!$UC$3,Data!$UE$1,IF(D55=Data!$UC$4,Data!$UF$1,IF(D55=Data!$UC$5,Data!$UG$1,IF(D55=Data!$UC$6,Data!$UH$1,IF(D55=Data!$UC$7,Data!$UI$1,IF(D55=Data!$UC$8,Data!$UJ$1,IF(D55=Data!$UC$9,Data!$UK$1,IF(D55=Data!$UC$10,Data!$UL$1,IF(D55=Data!$UC$11,Data!$UM$1,IF(D55=Data!$UC$12,Data!$UN$1,IF(D55=Data!$UC$13,Data!$UO$1))))))))))))</f>
        <v>0</v>
      </c>
      <c r="AG55" s="247" t="e">
        <f>MATCH(D55, Data!$UU$2:$UU$13,0)</f>
        <v>#N/A</v>
      </c>
      <c r="AH55" s="247" t="e">
        <f>MATCH(E55,Data!$UV$1:$UX$1,0)</f>
        <v>#N/A</v>
      </c>
      <c r="AI55" s="247" t="e">
        <f>INDEX(Data!$UV$2:$UX$13,'Cellular Blinds'!AG55,'Cellular Blinds'!AH55)</f>
        <v>#N/A</v>
      </c>
      <c r="AK55" s="247" t="e">
        <f>MATCH(E55, Data!$WY$2:$WY$4,0)</f>
        <v>#N/A</v>
      </c>
      <c r="AL55" s="247" t="e">
        <f>MATCH(F55,Data!$WZ$1:$XI$1,0)</f>
        <v>#N/A</v>
      </c>
      <c r="AM55" s="247" t="e">
        <f>INDEX(Data!$WZ$2:$XI$4,'Cellular Blinds'!AK55,'Cellular Blinds'!AL55)</f>
        <v>#N/A</v>
      </c>
      <c r="AN55" s="247" t="b">
        <f>IF(D55=Data!$XL$2,Data!$XM$1,IF(D55=Data!$XL$3,Data!$XN$1,IF(D55=Data!$XL$4,Data!$XO$1,IF(D55=Data!$XL$5,Data!$XP$1,IF(D55=Data!$XL$6,Data!$XQ$1,IF(D55=Data!$XL$7,Data!$XR$1,IF(D55=Data!$XL$8,Data!$XS$1,IF(D55=Data!$XL$9,Data!$XT$1,IF(D55=Data!$XL$10,Data!$XU$1,IF(D55=Data!$XL$11,Data!$XV$1,IF(D55=Data!$XL$12,Data!$XW$1,IF(D55=Data!$XL$13,Data!$XX$1))))))))))))</f>
        <v>0</v>
      </c>
      <c r="AO55" s="247" t="str">
        <f>IF(D55="","",IF(E55=Data!$XZ$2,VLOOKUP(D55,Data!$YB$2:$YC$13,2,FALSE),IF(E55=Data!$XZ$1,VLOOKUP(D55,Data!$YE$2:$YF$13,2,FALSE),IF(E55=Data!$XZ$3,VLOOKUP(D55,Data!$YG$2:$YH$13,2,FALSE)))))</f>
        <v/>
      </c>
      <c r="AP55" s="265" t="str">
        <f t="shared" si="3"/>
        <v/>
      </c>
      <c r="AQ55" s="265" t="str">
        <f t="shared" si="4"/>
        <v/>
      </c>
      <c r="AR55" s="247" t="str">
        <f t="shared" si="5"/>
        <v/>
      </c>
    </row>
    <row r="56" spans="1:44" ht="30" customHeight="1">
      <c r="A56" s="53">
        <v>49</v>
      </c>
      <c r="B56" s="13"/>
      <c r="C56" s="13"/>
      <c r="D56" s="13"/>
      <c r="E56" s="243"/>
      <c r="F56" s="243"/>
      <c r="G56" s="243"/>
      <c r="H56" s="243"/>
      <c r="I56" s="14"/>
      <c r="J56" s="14"/>
      <c r="K56" s="14"/>
      <c r="L56" s="14"/>
      <c r="M56" s="484"/>
      <c r="N56" s="485"/>
      <c r="O56" s="15"/>
      <c r="P56" s="15"/>
      <c r="Q56" s="13" t="str">
        <f t="shared" si="1"/>
        <v/>
      </c>
      <c r="R56" s="267" t="str">
        <f t="shared" si="2"/>
        <v/>
      </c>
      <c r="S56" s="186"/>
      <c r="T56" s="236"/>
      <c r="U56" s="237"/>
      <c r="Y56" s="33" t="str">
        <f t="shared" si="6"/>
        <v>OK</v>
      </c>
      <c r="AB56" s="247" t="e">
        <f>MATCH(E56, Data!$TA$2:$TA$4,0)</f>
        <v>#N/A</v>
      </c>
      <c r="AC56" s="247" t="e">
        <f>MATCH(F56,Data!$TB$1:$TK$1,0)</f>
        <v>#N/A</v>
      </c>
      <c r="AD56" s="247" t="e">
        <f>INDEX(Data!$TB$2:$TK$4,'Cellular Blinds'!AB56,'Cellular Blinds'!AC56)</f>
        <v>#N/A</v>
      </c>
      <c r="AF56" s="33" t="b">
        <f>IF(D56=Data!$UC$2,Data!$UD$1,IF(D56=Data!$UC$3,Data!$UE$1,IF(D56=Data!$UC$4,Data!$UF$1,IF(D56=Data!$UC$5,Data!$UG$1,IF(D56=Data!$UC$6,Data!$UH$1,IF(D56=Data!$UC$7,Data!$UI$1,IF(D56=Data!$UC$8,Data!$UJ$1,IF(D56=Data!$UC$9,Data!$UK$1,IF(D56=Data!$UC$10,Data!$UL$1,IF(D56=Data!$UC$11,Data!$UM$1,IF(D56=Data!$UC$12,Data!$UN$1,IF(D56=Data!$UC$13,Data!$UO$1))))))))))))</f>
        <v>0</v>
      </c>
      <c r="AG56" s="247" t="e">
        <f>MATCH(D56, Data!$UU$2:$UU$13,0)</f>
        <v>#N/A</v>
      </c>
      <c r="AH56" s="247" t="e">
        <f>MATCH(E56,Data!$UV$1:$UX$1,0)</f>
        <v>#N/A</v>
      </c>
      <c r="AI56" s="247" t="e">
        <f>INDEX(Data!$UV$2:$UX$13,'Cellular Blinds'!AG56,'Cellular Blinds'!AH56)</f>
        <v>#N/A</v>
      </c>
      <c r="AK56" s="247" t="e">
        <f>MATCH(E56, Data!$WY$2:$WY$4,0)</f>
        <v>#N/A</v>
      </c>
      <c r="AL56" s="247" t="e">
        <f>MATCH(F56,Data!$WZ$1:$XI$1,0)</f>
        <v>#N/A</v>
      </c>
      <c r="AM56" s="247" t="e">
        <f>INDEX(Data!$WZ$2:$XI$4,'Cellular Blinds'!AK56,'Cellular Blinds'!AL56)</f>
        <v>#N/A</v>
      </c>
      <c r="AN56" s="247" t="b">
        <f>IF(D56=Data!$XL$2,Data!$XM$1,IF(D56=Data!$XL$3,Data!$XN$1,IF(D56=Data!$XL$4,Data!$XO$1,IF(D56=Data!$XL$5,Data!$XP$1,IF(D56=Data!$XL$6,Data!$XQ$1,IF(D56=Data!$XL$7,Data!$XR$1,IF(D56=Data!$XL$8,Data!$XS$1,IF(D56=Data!$XL$9,Data!$XT$1,IF(D56=Data!$XL$10,Data!$XU$1,IF(D56=Data!$XL$11,Data!$XV$1,IF(D56=Data!$XL$12,Data!$XW$1,IF(D56=Data!$XL$13,Data!$XX$1))))))))))))</f>
        <v>0</v>
      </c>
      <c r="AO56" s="247" t="str">
        <f>IF(D56="","",IF(E56=Data!$XZ$2,VLOOKUP(D56,Data!$YB$2:$YC$13,2,FALSE),IF(E56=Data!$XZ$1,VLOOKUP(D56,Data!$YE$2:$YF$13,2,FALSE),IF(E56=Data!$XZ$3,VLOOKUP(D56,Data!$YG$2:$YH$13,2,FALSE)))))</f>
        <v/>
      </c>
      <c r="AP56" s="265" t="str">
        <f t="shared" si="3"/>
        <v/>
      </c>
      <c r="AQ56" s="265" t="str">
        <f t="shared" si="4"/>
        <v/>
      </c>
      <c r="AR56" s="247" t="str">
        <f t="shared" si="5"/>
        <v/>
      </c>
    </row>
    <row r="57" spans="1:44" ht="30" customHeight="1" thickBot="1">
      <c r="A57" s="54">
        <v>50</v>
      </c>
      <c r="B57" s="21"/>
      <c r="C57" s="21"/>
      <c r="D57" s="21"/>
      <c r="E57" s="244"/>
      <c r="F57" s="244"/>
      <c r="G57" s="244"/>
      <c r="H57" s="244"/>
      <c r="I57" s="22"/>
      <c r="J57" s="22"/>
      <c r="K57" s="22"/>
      <c r="L57" s="22"/>
      <c r="M57" s="498"/>
      <c r="N57" s="499"/>
      <c r="O57" s="44"/>
      <c r="P57" s="44"/>
      <c r="Q57" s="21" t="str">
        <f t="shared" si="1"/>
        <v/>
      </c>
      <c r="R57" s="268" t="str">
        <f t="shared" si="2"/>
        <v/>
      </c>
      <c r="S57" s="187"/>
      <c r="T57" s="236"/>
      <c r="U57" s="237"/>
      <c r="Y57" s="33" t="str">
        <f t="shared" si="6"/>
        <v>OK</v>
      </c>
      <c r="AB57" s="247" t="e">
        <f>MATCH(E57, Data!$TA$2:$TA$4,0)</f>
        <v>#N/A</v>
      </c>
      <c r="AC57" s="247" t="e">
        <f>MATCH(F57,Data!$TB$1:$TK$1,0)</f>
        <v>#N/A</v>
      </c>
      <c r="AD57" s="247" t="e">
        <f>INDEX(Data!$TB$2:$TK$4,'Cellular Blinds'!AB57,'Cellular Blinds'!AC57)</f>
        <v>#N/A</v>
      </c>
      <c r="AF57" s="33" t="b">
        <f>IF(D57=Data!$UC$2,Data!$UD$1,IF(D57=Data!$UC$3,Data!$UE$1,IF(D57=Data!$UC$4,Data!$UF$1,IF(D57=Data!$UC$5,Data!$UG$1,IF(D57=Data!$UC$6,Data!$UH$1,IF(D57=Data!$UC$7,Data!$UI$1,IF(D57=Data!$UC$8,Data!$UJ$1,IF(D57=Data!$UC$9,Data!$UK$1,IF(D57=Data!$UC$10,Data!$UL$1,IF(D57=Data!$UC$11,Data!$UM$1,IF(D57=Data!$UC$12,Data!$UN$1,IF(D57=Data!$UC$13,Data!$UO$1))))))))))))</f>
        <v>0</v>
      </c>
      <c r="AG57" s="247" t="e">
        <f>MATCH(D57, Data!$UU$2:$UU$13,0)</f>
        <v>#N/A</v>
      </c>
      <c r="AH57" s="247" t="e">
        <f>MATCH(E57,Data!$UV$1:$UX$1,0)</f>
        <v>#N/A</v>
      </c>
      <c r="AI57" s="247" t="e">
        <f>INDEX(Data!$UV$2:$UX$13,'Cellular Blinds'!AG57,'Cellular Blinds'!AH57)</f>
        <v>#N/A</v>
      </c>
      <c r="AK57" s="247" t="e">
        <f>MATCH(E57, Data!$WY$2:$WY$4,0)</f>
        <v>#N/A</v>
      </c>
      <c r="AL57" s="247" t="e">
        <f>MATCH(F57,Data!$WZ$1:$XI$1,0)</f>
        <v>#N/A</v>
      </c>
      <c r="AM57" s="247" t="e">
        <f>INDEX(Data!$WZ$2:$XI$4,'Cellular Blinds'!AK57,'Cellular Blinds'!AL57)</f>
        <v>#N/A</v>
      </c>
      <c r="AN57" s="247" t="b">
        <f>IF(D57=Data!$XL$2,Data!$XM$1,IF(D57=Data!$XL$3,Data!$XN$1,IF(D57=Data!$XL$4,Data!$XO$1,IF(D57=Data!$XL$5,Data!$XP$1,IF(D57=Data!$XL$6,Data!$XQ$1,IF(D57=Data!$XL$7,Data!$XR$1,IF(D57=Data!$XL$8,Data!$XS$1,IF(D57=Data!$XL$9,Data!$XT$1,IF(D57=Data!$XL$10,Data!$XU$1,IF(D57=Data!$XL$11,Data!$XV$1,IF(D57=Data!$XL$12,Data!$XW$1,IF(D57=Data!$XL$13,Data!$XX$1))))))))))))</f>
        <v>0</v>
      </c>
      <c r="AO57" s="247" t="str">
        <f>IF(D57="","",IF(E57=Data!$XZ$2,VLOOKUP(D57,Data!$YB$2:$YC$13,2,FALSE),IF(E57=Data!$XZ$1,VLOOKUP(D57,Data!$YE$2:$YF$13,2,FALSE),IF(E57=Data!$XZ$3,VLOOKUP(D57,Data!$YG$2:$YH$13,2,FALSE)))))</f>
        <v/>
      </c>
      <c r="AP57" s="265" t="str">
        <f t="shared" si="3"/>
        <v/>
      </c>
      <c r="AQ57" s="265" t="str">
        <f t="shared" si="4"/>
        <v/>
      </c>
      <c r="AR57" s="247" t="str">
        <f t="shared" si="5"/>
        <v/>
      </c>
    </row>
    <row r="58" spans="1:44" ht="15.75" thickTop="1">
      <c r="AI58" s="247"/>
    </row>
  </sheetData>
  <mergeCells count="65">
    <mergeCell ref="M55:N55"/>
    <mergeCell ref="M56:N56"/>
    <mergeCell ref="M57:N57"/>
    <mergeCell ref="M52:N52"/>
    <mergeCell ref="M53:N53"/>
    <mergeCell ref="M54:N54"/>
    <mergeCell ref="M49:N49"/>
    <mergeCell ref="M50:N50"/>
    <mergeCell ref="M51:N51"/>
    <mergeCell ref="M46:N46"/>
    <mergeCell ref="M47:N47"/>
    <mergeCell ref="M48:N48"/>
    <mergeCell ref="M43:N43"/>
    <mergeCell ref="M44:N44"/>
    <mergeCell ref="M45:N45"/>
    <mergeCell ref="M40:N40"/>
    <mergeCell ref="M41:N41"/>
    <mergeCell ref="M42:N42"/>
    <mergeCell ref="M37:N37"/>
    <mergeCell ref="M38:N38"/>
    <mergeCell ref="M39:N39"/>
    <mergeCell ref="M34:N34"/>
    <mergeCell ref="M35:N35"/>
    <mergeCell ref="M36:N36"/>
    <mergeCell ref="M31:N31"/>
    <mergeCell ref="M32:N32"/>
    <mergeCell ref="M33:N33"/>
    <mergeCell ref="M28:N28"/>
    <mergeCell ref="M29:N29"/>
    <mergeCell ref="M30:N30"/>
    <mergeCell ref="M25:N25"/>
    <mergeCell ref="M26:N26"/>
    <mergeCell ref="M27:N27"/>
    <mergeCell ref="M22:N22"/>
    <mergeCell ref="M23:N23"/>
    <mergeCell ref="M24:N24"/>
    <mergeCell ref="M20:N20"/>
    <mergeCell ref="M21:N21"/>
    <mergeCell ref="M16:N16"/>
    <mergeCell ref="M17:N17"/>
    <mergeCell ref="M18:N18"/>
    <mergeCell ref="M15:N15"/>
    <mergeCell ref="M10:N10"/>
    <mergeCell ref="M11:N11"/>
    <mergeCell ref="M12:N12"/>
    <mergeCell ref="M19:N19"/>
    <mergeCell ref="M13:N13"/>
    <mergeCell ref="M14:N14"/>
    <mergeCell ref="M7:N7"/>
    <mergeCell ref="M8:N8"/>
    <mergeCell ref="M9:N9"/>
    <mergeCell ref="A4:C4"/>
    <mergeCell ref="A6:F6"/>
    <mergeCell ref="I4:R4"/>
    <mergeCell ref="I5:R5"/>
    <mergeCell ref="I6:R6"/>
    <mergeCell ref="AK6:AM6"/>
    <mergeCell ref="T1:T2"/>
    <mergeCell ref="U1:U2"/>
    <mergeCell ref="I1:R1"/>
    <mergeCell ref="E2:F2"/>
    <mergeCell ref="T4:T5"/>
    <mergeCell ref="U4:U5"/>
    <mergeCell ref="I2:R2"/>
    <mergeCell ref="I3:R3"/>
  </mergeCells>
  <conditionalFormatting sqref="C8:C57">
    <cfRule type="cellIs" dxfId="111" priority="7" stopIfTrue="1" operator="greaterThan">
      <formula>1</formula>
    </cfRule>
  </conditionalFormatting>
  <conditionalFormatting sqref="Q8:Q57">
    <cfRule type="containsErrors" dxfId="110" priority="1">
      <formula>ISERROR(Q8)</formula>
    </cfRule>
    <cfRule type="containsText" dxfId="109" priority="3" operator="containsText" text="Check Size">
      <formula>NOT(ISERROR(SEARCH("Check Size",Q8)))</formula>
    </cfRule>
  </conditionalFormatting>
  <conditionalFormatting sqref="I6:R6">
    <cfRule type="notContainsBlanks" dxfId="108" priority="2">
      <formula>LEN(TRIM(I6))&gt;0</formula>
    </cfRule>
  </conditionalFormatting>
  <dataValidations count="16">
    <dataValidation type="list" allowBlank="1" showInputMessage="1" showErrorMessage="1" errorTitle="Invalid Entry" error="Invalid Entry" sqref="F8:F57" xr:uid="{00000000-0002-0000-0600-000000000000}">
      <formula1>INDIRECT(SUBSTITUTE(SUBSTITUTE(SUBSTITUTE(AI8," ","_"),"(",""),")",""))</formula1>
    </dataValidation>
    <dataValidation type="list" allowBlank="1" showInputMessage="1" showErrorMessage="1" errorTitle="Invalid Entry" error="Invalid Entry" sqref="G8:G57" xr:uid="{00000000-0002-0000-0600-000001000000}">
      <formula1>INDIRECT(SUBSTITUTE(SUBSTITUTE(SUBSTITUTE(AD8," ","_"),"(",""),")",""))</formula1>
    </dataValidation>
    <dataValidation type="list" allowBlank="1" showInputMessage="1" showErrorMessage="1" errorTitle="Invalid Entry" error="Invalid Entry" sqref="P8:P57" xr:uid="{00000000-0002-0000-0600-000002000000}">
      <formula1>INDIRECT(SUBSTITUTE(SUBSTITUTE(SUBSTITUTE(AF8," ","_"),"(",""),")",""))</formula1>
    </dataValidation>
    <dataValidation type="list" allowBlank="1" showInputMessage="1" showErrorMessage="1" errorTitle="Invalid Entry" error="Invalid Entry" sqref="H8:H57" xr:uid="{00000000-0002-0000-0600-000003000000}">
      <formula1>INDIRECT(SUBSTITUTE(SUBSTITUTE(SUBSTITUTE(AM8," ","_"),"(",""),")",""))</formula1>
    </dataValidation>
    <dataValidation allowBlank="1" sqref="T1:U57" xr:uid="{00000000-0002-0000-0600-000004000000}"/>
    <dataValidation allowBlank="1" showInputMessage="1" showErrorMessage="1" errorTitle="Invalid Entry" error="Please select from List!" sqref="Q8:Q57" xr:uid="{00000000-0002-0000-0600-000005000000}"/>
    <dataValidation allowBlank="1" showInputMessage="1" errorTitle="Invalid Enrty" error="Please select from List!" sqref="S8:S57" xr:uid="{00000000-0002-0000-0600-000006000000}"/>
    <dataValidation errorStyle="information" allowBlank="1" sqref="R8:R57" xr:uid="{00000000-0002-0000-0600-000007000000}"/>
    <dataValidation type="whole" errorStyle="warning" allowBlank="1" showInputMessage="1" showErrorMessage="1" errorTitle="Be Aware" error="Minimum Height for some Blind options is 200mm._x000a__x000a_Maximum Height for some Blind options is 3600mm." sqref="J8:J57" xr:uid="{00000000-0002-0000-0600-000008000000}">
      <formula1>200</formula1>
      <formula2>3600</formula2>
    </dataValidation>
    <dataValidation type="whole" errorStyle="warning" allowBlank="1" showInputMessage="1" showErrorMessage="1" errorTitle="Be Aware" error="Minimum Width for some Blind options is 270mm._x000a__x000a_Maximum Width for some Blind options is 3000mm." sqref="I8:I57" xr:uid="{00000000-0002-0000-0600-000009000000}">
      <formula1>200</formula1>
      <formula2>3000</formula2>
    </dataValidation>
    <dataValidation type="list" allowBlank="1" showInputMessage="1" showErrorMessage="1" errorTitle="Invalid Entry" error="Invalid Entry" sqref="K8:K57" xr:uid="{00000000-0002-0000-0600-00000A000000}">
      <formula1>WindowType</formula1>
    </dataValidation>
    <dataValidation type="list" allowBlank="1" showInputMessage="1" showErrorMessage="1" errorTitle="Invalid Entry" error="Invalid Entry" sqref="D8:D57" xr:uid="{00000000-0002-0000-0600-00000B000000}">
      <formula1>CellularOperation</formula1>
    </dataValidation>
    <dataValidation type="list" errorStyle="warning" allowBlank="1" showInputMessage="1" showErrorMessage="1" errorTitle="Invalid Entry" error="This is not a standard colour._x000a_Please select from List!" sqref="M8:N57" xr:uid="{00000000-0002-0000-0600-00000C000000}">
      <formula1>"NAM, ACT"</formula1>
    </dataValidation>
    <dataValidation type="list" allowBlank="1" showInputMessage="1" showErrorMessage="1" sqref="L8:L57" xr:uid="{00000000-0002-0000-0600-00000D000000}">
      <formula1>"Face Fit, Recess Fit"</formula1>
    </dataValidation>
    <dataValidation type="list" allowBlank="1" showInputMessage="1" showErrorMessage="1" errorTitle="Invalid Entry" error="Invalid Entry" sqref="E8:E57" xr:uid="{00000000-0002-0000-0600-00000E000000}">
      <formula1>CellularBlindProduct</formula1>
    </dataValidation>
    <dataValidation type="list" allowBlank="1" showInputMessage="1" showErrorMessage="1" errorTitle="Invalid Entry" error="Invalid Entry" sqref="O8:O57" xr:uid="{00000000-0002-0000-0600-00000F000000}">
      <formula1>INDIRECT(SUBSTITUTE(SUBSTITUTE(SUBSTITUTE(AN8," ","_"),"(",""),")",""))</formula1>
    </dataValidation>
  </dataValidations>
  <printOptions horizontalCentered="1"/>
  <pageMargins left="0.23622047244094491" right="0.23622047244094491" top="0.23622047244094491" bottom="0.23622047244094491" header="0.19685039370078741" footer="0.15748031496062992"/>
  <pageSetup paperSize="9" scale="35"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pageSetUpPr fitToPage="1"/>
  </sheetPr>
  <dimension ref="A1:BZ58"/>
  <sheetViews>
    <sheetView zoomScale="85" zoomScaleNormal="85" zoomScaleSheetLayoutView="85" workbookViewId="0">
      <selection activeCell="B8" sqref="B8"/>
    </sheetView>
  </sheetViews>
  <sheetFormatPr defaultRowHeight="15"/>
  <cols>
    <col min="1" max="1" width="7.140625" style="55" customWidth="1"/>
    <col min="2" max="2" width="13.7109375" style="55" customWidth="1"/>
    <col min="3" max="3" width="8.42578125" style="55" customWidth="1"/>
    <col min="4" max="4" width="21.5703125" style="55" customWidth="1"/>
    <col min="5" max="5" width="19.28515625" style="55" customWidth="1"/>
    <col min="6" max="6" width="13" style="55" customWidth="1"/>
    <col min="7" max="8" width="12.42578125" style="55" customWidth="1"/>
    <col min="9" max="9" width="38.140625" style="55" customWidth="1"/>
    <col min="10" max="10" width="15.85546875" style="55" customWidth="1"/>
    <col min="11" max="11" width="14" style="55" customWidth="1"/>
    <col min="12" max="12" width="9.85546875" style="55" customWidth="1"/>
    <col min="13" max="13" width="4.28515625" style="55" customWidth="1"/>
    <col min="14" max="14" width="14.7109375" style="55" customWidth="1"/>
    <col min="15" max="15" width="13.7109375" style="55" customWidth="1"/>
    <col min="16" max="16" width="14.7109375" style="55" customWidth="1"/>
    <col min="17" max="17" width="12.28515625" style="55" customWidth="1"/>
    <col min="18" max="18" width="10.85546875" style="55" customWidth="1"/>
    <col min="19" max="19" width="9.28515625" style="55" customWidth="1"/>
    <col min="20" max="21" width="21.7109375" style="55" customWidth="1"/>
    <col min="22" max="22" width="15.42578125" style="55" customWidth="1"/>
    <col min="23" max="23" width="44.5703125" style="66" hidden="1" customWidth="1"/>
    <col min="24" max="24" width="22.5703125" style="284" hidden="1" customWidth="1"/>
    <col min="25" max="25" width="9.140625" style="284" hidden="1" customWidth="1"/>
    <col min="26" max="26" width="9.140625" style="33" hidden="1" customWidth="1"/>
    <col min="27" max="27" width="14.7109375" style="284" hidden="1" customWidth="1"/>
    <col min="28" max="28" width="37.42578125" style="92" hidden="1" customWidth="1"/>
    <col min="29" max="30" width="23.28515625" style="92" hidden="1" customWidth="1"/>
    <col min="31" max="31" width="25.140625" style="33" hidden="1" customWidth="1"/>
    <col min="32" max="33" width="9.140625" style="33" hidden="1" customWidth="1"/>
    <col min="34" max="34" width="27" style="33" hidden="1" customWidth="1"/>
    <col min="35" max="35" width="9.140625" style="33" hidden="1" customWidth="1"/>
    <col min="36" max="36" width="24" style="33" hidden="1" customWidth="1"/>
    <col min="37" max="37" width="9.140625" style="33" hidden="1" customWidth="1"/>
    <col min="38" max="38" width="42.7109375" style="33" hidden="1" customWidth="1"/>
    <col min="39" max="47" width="9.140625" style="33" hidden="1" customWidth="1"/>
    <col min="48" max="48" width="14.7109375" style="33" hidden="1" customWidth="1"/>
    <col min="49" max="50" width="15.140625" style="92" hidden="1" customWidth="1"/>
    <col min="51" max="51" width="21.42578125" style="92" hidden="1" customWidth="1"/>
    <col min="52" max="52" width="9.140625" style="33" hidden="1" customWidth="1"/>
    <col min="53" max="53" width="13.85546875" style="33" hidden="1" customWidth="1"/>
    <col min="54" max="54" width="45" style="92" hidden="1" customWidth="1"/>
    <col min="55" max="55" width="53" style="33" hidden="1" customWidth="1"/>
    <col min="56" max="56" width="33.5703125" style="33" hidden="1" customWidth="1"/>
    <col min="57" max="57" width="28.85546875" style="33" hidden="1" customWidth="1"/>
    <col min="58" max="58" width="35.140625" style="33" hidden="1" customWidth="1"/>
    <col min="59" max="59" width="24.42578125" style="33" hidden="1" customWidth="1"/>
    <col min="60" max="60" width="39.85546875" style="33" hidden="1" customWidth="1"/>
    <col min="61" max="61" width="49" style="33" hidden="1" customWidth="1"/>
    <col min="62" max="62" width="20.28515625" style="92" hidden="1" customWidth="1"/>
    <col min="63" max="63" width="21.28515625" style="92" hidden="1" customWidth="1"/>
    <col min="64" max="64" width="19.5703125" style="92" hidden="1" customWidth="1"/>
    <col min="65" max="65" width="21.42578125" style="92" hidden="1" customWidth="1"/>
    <col min="66" max="66" width="20.28515625" style="92" hidden="1" customWidth="1"/>
    <col min="67" max="71" width="32" style="33" hidden="1" customWidth="1"/>
    <col min="72" max="78" width="9.140625" style="33" hidden="1" customWidth="1"/>
    <col min="79" max="16384" width="9.140625" style="33"/>
  </cols>
  <sheetData>
    <row r="1" spans="1:70" ht="26.25">
      <c r="A1" s="120"/>
      <c r="B1" s="121"/>
      <c r="C1" s="121"/>
      <c r="D1" s="121"/>
      <c r="E1" s="177"/>
      <c r="F1" s="121"/>
      <c r="G1" s="121"/>
      <c r="H1" s="121"/>
      <c r="I1" s="121"/>
      <c r="J1" s="48"/>
      <c r="K1" s="553" t="s">
        <v>0</v>
      </c>
      <c r="L1" s="554"/>
      <c r="M1" s="541">
        <f>Summary!D3</f>
        <v>0</v>
      </c>
      <c r="N1" s="542"/>
      <c r="O1" s="542"/>
      <c r="P1" s="542"/>
      <c r="Q1" s="542"/>
      <c r="R1" s="542"/>
      <c r="S1" s="542"/>
      <c r="T1" s="543"/>
      <c r="U1" s="60"/>
      <c r="V1" s="275"/>
      <c r="W1" s="272"/>
    </row>
    <row r="2" spans="1:70" ht="19.5">
      <c r="A2" s="28"/>
      <c r="B2" s="29"/>
      <c r="C2" s="29"/>
      <c r="F2" s="561" t="s">
        <v>1479</v>
      </c>
      <c r="G2" s="561"/>
      <c r="H2" s="561"/>
      <c r="I2" s="561"/>
      <c r="J2" s="48"/>
      <c r="K2" s="553" t="s">
        <v>141</v>
      </c>
      <c r="L2" s="554"/>
      <c r="M2" s="477">
        <f>Summary!D6</f>
        <v>0</v>
      </c>
      <c r="N2" s="478"/>
      <c r="O2" s="478"/>
      <c r="P2" s="478"/>
      <c r="Q2" s="478"/>
      <c r="R2" s="478"/>
      <c r="S2" s="478"/>
      <c r="T2" s="479"/>
      <c r="U2" s="62"/>
      <c r="V2" s="275"/>
      <c r="W2" s="272"/>
    </row>
    <row r="3" spans="1:70" ht="17.25" customHeight="1">
      <c r="A3" s="7"/>
      <c r="B3" s="8"/>
      <c r="C3" s="8"/>
      <c r="D3" s="122"/>
      <c r="F3" s="122"/>
      <c r="G3" s="122"/>
      <c r="H3" s="122"/>
      <c r="I3" s="122"/>
      <c r="J3" s="282"/>
      <c r="K3" s="553" t="s">
        <v>142</v>
      </c>
      <c r="L3" s="554"/>
      <c r="M3" s="458">
        <f>Summary!D4</f>
        <v>0</v>
      </c>
      <c r="N3" s="546"/>
      <c r="O3" s="546"/>
      <c r="P3" s="546"/>
      <c r="Q3" s="546"/>
      <c r="R3" s="546"/>
      <c r="S3" s="546"/>
      <c r="T3" s="547"/>
      <c r="U3" s="62"/>
      <c r="V3" s="63"/>
      <c r="W3" s="64"/>
    </row>
    <row r="4" spans="1:70" ht="17.25" customHeight="1">
      <c r="A4" s="472" t="s">
        <v>458</v>
      </c>
      <c r="B4" s="472"/>
      <c r="C4" s="472"/>
      <c r="D4" s="529"/>
      <c r="E4" s="529"/>
      <c r="F4" s="473" t="s">
        <v>457</v>
      </c>
      <c r="G4" s="474"/>
      <c r="H4" s="473"/>
      <c r="I4" s="562"/>
      <c r="J4" s="282"/>
      <c r="K4" s="553" t="s">
        <v>973</v>
      </c>
      <c r="L4" s="554"/>
      <c r="M4" s="477">
        <f>Summary!D7</f>
        <v>0</v>
      </c>
      <c r="N4" s="478"/>
      <c r="O4" s="478"/>
      <c r="P4" s="478"/>
      <c r="Q4" s="478"/>
      <c r="R4" s="478"/>
      <c r="S4" s="478"/>
      <c r="T4" s="479"/>
      <c r="U4" s="62"/>
      <c r="V4" s="275"/>
      <c r="W4" s="273"/>
    </row>
    <row r="5" spans="1:70" ht="17.25" customHeight="1">
      <c r="A5" s="101" t="s">
        <v>421</v>
      </c>
      <c r="B5" s="102"/>
      <c r="C5" s="102"/>
      <c r="D5" s="43" t="s">
        <v>211</v>
      </c>
      <c r="E5" s="124"/>
      <c r="F5" s="43"/>
      <c r="G5" s="123"/>
      <c r="H5" s="123"/>
      <c r="I5" s="123"/>
      <c r="J5" s="282"/>
      <c r="K5" s="553" t="s">
        <v>143</v>
      </c>
      <c r="L5" s="554"/>
      <c r="M5" s="548">
        <f>Summary!D8</f>
        <v>0</v>
      </c>
      <c r="N5" s="549"/>
      <c r="O5" s="549"/>
      <c r="P5" s="549"/>
      <c r="Q5" s="549"/>
      <c r="R5" s="549"/>
      <c r="S5" s="549"/>
      <c r="T5" s="550"/>
      <c r="U5" s="65"/>
      <c r="V5" s="275"/>
      <c r="W5" s="273"/>
    </row>
    <row r="6" spans="1:70" ht="15.75" thickBot="1">
      <c r="A6" s="524" t="s">
        <v>723</v>
      </c>
      <c r="B6" s="525"/>
      <c r="C6" s="525"/>
      <c r="D6" s="525"/>
      <c r="E6" s="525"/>
      <c r="F6" s="525"/>
      <c r="G6" s="525"/>
      <c r="H6" s="525"/>
      <c r="I6" s="525"/>
      <c r="J6" s="283"/>
      <c r="K6" s="557" t="s">
        <v>654</v>
      </c>
      <c r="L6" s="558"/>
      <c r="M6" s="511" t="str">
        <f>AB18</f>
        <v/>
      </c>
      <c r="N6" s="512"/>
      <c r="O6" s="512"/>
      <c r="P6" s="512"/>
      <c r="Q6" s="512"/>
      <c r="R6" s="512"/>
      <c r="S6" s="512"/>
      <c r="T6" s="513"/>
      <c r="BN6" s="92" t="s">
        <v>22</v>
      </c>
    </row>
    <row r="7" spans="1:70" ht="47.25" customHeight="1" thickTop="1" thickBot="1">
      <c r="A7" s="67" t="s">
        <v>144</v>
      </c>
      <c r="B7" s="68" t="s">
        <v>145</v>
      </c>
      <c r="C7" s="69" t="s">
        <v>162</v>
      </c>
      <c r="D7" s="69" t="s">
        <v>1207</v>
      </c>
      <c r="E7" s="69" t="s">
        <v>150</v>
      </c>
      <c r="F7" s="68" t="s">
        <v>146</v>
      </c>
      <c r="G7" s="69" t="s">
        <v>147</v>
      </c>
      <c r="H7" s="70" t="s">
        <v>950</v>
      </c>
      <c r="I7" s="70" t="s">
        <v>1481</v>
      </c>
      <c r="J7" s="70" t="s">
        <v>14</v>
      </c>
      <c r="K7" s="70" t="s">
        <v>163</v>
      </c>
      <c r="L7" s="492" t="s">
        <v>13</v>
      </c>
      <c r="M7" s="493"/>
      <c r="N7" s="68" t="s">
        <v>1510</v>
      </c>
      <c r="O7" s="68" t="s">
        <v>181</v>
      </c>
      <c r="P7" s="68" t="s">
        <v>164</v>
      </c>
      <c r="Q7" s="68" t="s">
        <v>188</v>
      </c>
      <c r="R7" s="68" t="s">
        <v>189</v>
      </c>
      <c r="S7" s="68" t="s">
        <v>185</v>
      </c>
      <c r="T7" s="494" t="s">
        <v>203</v>
      </c>
      <c r="U7" s="535"/>
      <c r="V7" s="238"/>
      <c r="W7" s="238"/>
      <c r="X7" s="284" t="s">
        <v>1071</v>
      </c>
      <c r="Y7" s="284" t="s">
        <v>1169</v>
      </c>
      <c r="AA7" s="284" t="s">
        <v>1170</v>
      </c>
      <c r="AD7" s="92" t="s">
        <v>837</v>
      </c>
      <c r="AE7" s="33" t="s">
        <v>1128</v>
      </c>
      <c r="AH7" s="33" t="s">
        <v>1150</v>
      </c>
      <c r="AJ7" s="33" t="s">
        <v>185</v>
      </c>
      <c r="AL7" s="33" t="s">
        <v>167</v>
      </c>
      <c r="AV7" s="68" t="s">
        <v>222</v>
      </c>
      <c r="AW7" s="92" t="s">
        <v>860</v>
      </c>
      <c r="AX7" s="92" t="s">
        <v>861</v>
      </c>
      <c r="AY7" s="92" t="s">
        <v>862</v>
      </c>
      <c r="BB7" s="92" t="s">
        <v>1439</v>
      </c>
      <c r="BC7" s="33" t="s">
        <v>166</v>
      </c>
      <c r="BD7" s="33" t="s">
        <v>1443</v>
      </c>
      <c r="BE7" s="33" t="s">
        <v>1450</v>
      </c>
      <c r="BF7" s="33" t="s">
        <v>1451</v>
      </c>
      <c r="BG7" s="33" t="s">
        <v>1452</v>
      </c>
      <c r="BH7" s="33" t="s">
        <v>164</v>
      </c>
      <c r="BI7" s="33" t="s">
        <v>1493</v>
      </c>
      <c r="BJ7" s="92" t="s">
        <v>1500</v>
      </c>
      <c r="BK7" s="92" t="s">
        <v>1499</v>
      </c>
      <c r="BL7" s="92" t="s">
        <v>1497</v>
      </c>
      <c r="BM7" s="92" t="s">
        <v>1498</v>
      </c>
      <c r="BN7" s="92" t="s">
        <v>1410</v>
      </c>
      <c r="BO7" s="33" t="s">
        <v>1525</v>
      </c>
      <c r="BP7" s="33" t="s">
        <v>1526</v>
      </c>
      <c r="BQ7" s="33" t="s">
        <v>1527</v>
      </c>
      <c r="BR7" s="33" t="s">
        <v>1528</v>
      </c>
    </row>
    <row r="8" spans="1:70" ht="30" customHeight="1" thickTop="1" thickBot="1">
      <c r="A8" s="51">
        <v>1</v>
      </c>
      <c r="B8" s="9"/>
      <c r="C8" s="23"/>
      <c r="D8" s="25"/>
      <c r="E8" s="11"/>
      <c r="F8" s="24"/>
      <c r="G8" s="24"/>
      <c r="H8" s="24"/>
      <c r="I8" s="25"/>
      <c r="J8" s="24"/>
      <c r="K8" s="24"/>
      <c r="L8" s="480"/>
      <c r="M8" s="481"/>
      <c r="N8" s="11"/>
      <c r="O8" s="11"/>
      <c r="P8" s="11"/>
      <c r="Q8" s="40"/>
      <c r="R8" s="25"/>
      <c r="S8" s="25"/>
      <c r="T8" s="559"/>
      <c r="U8" s="560"/>
      <c r="V8" s="236"/>
      <c r="W8" s="237"/>
      <c r="X8" s="284" t="e">
        <f>IF(AND(Y8="Yes",S8=""),"Enter","OK")</f>
        <v>#N/A</v>
      </c>
      <c r="Y8" s="284" t="e">
        <f>VLOOKUP(Q8,Data!$QH$2:$QI$4,2,FALSE)</f>
        <v>#N/A</v>
      </c>
      <c r="AA8" s="284" t="e">
        <f>IF(AND(Y8="Yes",R8=""),"Enter","OK")</f>
        <v>#N/A</v>
      </c>
      <c r="AB8" s="92" t="str">
        <f>IF(COUNTIF($J$8:$J$57,Data!KF3),Data!KG3,"")</f>
        <v/>
      </c>
      <c r="AC8" s="92" t="str">
        <f>IF(SUM(--ISNUMBER(SEARCH({"Bay","Corner"}, P8:P17))),"Yes","No")</f>
        <v>No</v>
      </c>
      <c r="AD8" s="92" t="e">
        <f>IF(#REF!=Data!$KK$2,Data!$KM$1,IF(#REF!=Data!$KK$3,Data!$KN$1,IF(#REF!=Data!$KK$4,Data!$KP$1,IF(#REF!=Data!$KK$5,Data!$KQ$1))))</f>
        <v>#REF!</v>
      </c>
      <c r="AE8" s="33" t="str">
        <f>IF(D8=Data!$W$10,Data!$QJ$1,Data!$QK$1)</f>
        <v>RollerControl</v>
      </c>
      <c r="AH8" s="33" t="b">
        <f>IF(Q8=Data!$PX$2,Data!$PZ$1,IF(Q8=Data!$PX$3,Data!$PY$1,IF(Q8=Data!$PX$4,Data!$QA$1)))</f>
        <v>0</v>
      </c>
      <c r="AJ8" s="33" t="b">
        <f>IF(Q8=Data!$PX$3,Data!$QB$1,IF(Q8=Data!$PX$2,Data!$QC$1,IF(Q8=Data!$PX$4,Data!$QD$1)))</f>
        <v>0</v>
      </c>
      <c r="AL8" s="33" t="str">
        <f>IF(D8=Data!$W$3,Data!$QF$1,IF(D8=Data!$W$4,Data!$QF$1,IF(D8=Data!$W$5,Data!$QF$1,IF(D8=Data!$W$6,Data!$QF$1,IF(D8=Data!$W$7,Data!$QF$1,IF(D8=Data!$W$8,Data!$QF$1,IF(D8=Data!$W$9,Data!$QF$1,IF(D8=Data!$W$10,Data!$QE$1,IF(D8=Data!$W$11,Data!$QF$1,IF(D8=Data!$W$12,Data!$QF$1,IF(D8=Data!$W$13,Data!$QF$1,IF(D8=Data!$W$14,Data!$QF$1,IF(D8=Data!$W$15,Data!$QF$1,IF(D8=Data!$W$16,Data!$QF$1))))))))))))))</f>
        <v>RollerBracketType2</v>
      </c>
      <c r="AV8" s="40" t="e">
        <f>IF(AND(G8&lt;2130, OR(#REF!&lt;2100)),Data!$KS$1,Data!$KT$1)</f>
        <v>#REF!</v>
      </c>
      <c r="AW8" s="92" t="e">
        <f>MATCH(#REF!,Data!$LA$1:$LD$1,0)</f>
        <v>#REF!</v>
      </c>
      <c r="AX8" s="92" t="e">
        <f>MATCH('Panel Glide Blinds'!AV8,Data!$KZ$2:$KZ$3,0)</f>
        <v>#REF!</v>
      </c>
      <c r="AY8" s="92" t="e">
        <f>INDEX(Data!$LA$2:$LD$3,'Panel Glide Blinds'!AX8,'Panel Glide Blinds'!AW8)</f>
        <v>#REF!</v>
      </c>
      <c r="BB8" s="92" t="e">
        <f>IF(#REF!=Data!$QK$2,Data!$QL$1,IF(#REF!=Data!$QK$3,Data!$QM$1,IF(#REF!=Data!$QK$4,Data!$QN$1,IF(#REF!=Data!$QK$5,Data!$QO$1,IF(#REF!=Data!$QK$6,Data!$QP$1,IF(#REF!=Data!$QK$7,Data!$QQ$1,IF(#REF!=Data!$QK$8,Data!$QR$1,IF(#REF!=Data!$QK$9,Data!$QS$1,IF(#REF!=Data!$QK$10,Data!$QT$1,IF(#REF!=Data!$QK$11,Data!$QU$1))))))))))</f>
        <v>#REF!</v>
      </c>
      <c r="BC8" s="33" t="e">
        <f>IF(#REF!=Data!$QK$2,Data!$QL$17,IF(#REF!=Data!$QK$3,Data!$QM$17,IF(#REF!=Data!$QK$4,Data!$QN$17,IF(#REF!=Data!$QK$5,Data!$QO$17,IF(#REF!=Data!$QK$6,Data!$QP$17,IF(#REF!=Data!$QK$7,Data!$QQ$17,IF(#REF!=Data!$QK$8,Data!$QR$17,IF(#REF!=Data!$QK$9,Data!$QS$17,IF(#REF!=Data!$QK$10,Data!$QT$17,IF(#REF!=Data!$QK$11,Data!$QU$17))))))))))</f>
        <v>#REF!</v>
      </c>
      <c r="BD8" s="33" t="e">
        <f>IF(#REF!=Data!$PU$2,Data!$PW$1,IF(#REF!=Data!$PU$3,Data!$PW$1,IF(#REF!=Data!$PU$4,Data!$PV$1,IF(#REF!=Data!$PU$5,Data!$PV$1,))))</f>
        <v>#REF!</v>
      </c>
      <c r="BE8" s="33" t="e">
        <f>MATCH('Panel Glide Blinds'!D8,Data!$YK$2:$YK$15)</f>
        <v>#N/A</v>
      </c>
      <c r="BF8" s="33" t="e">
        <f>MATCH(O8,Data!$YL$1:$YM$1)</f>
        <v>#N/A</v>
      </c>
      <c r="BG8" s="33" t="e">
        <f>INDEX(Data!$YL$2:$YM$15,BE8,BF8)</f>
        <v>#N/A</v>
      </c>
      <c r="BH8" s="33" t="b">
        <f>IF(O8=Data!$ZF$1,Data!$ZD$1,IF(O8=Data!$ZF$2,Data!$ZE$1))</f>
        <v>0</v>
      </c>
      <c r="BI8" s="33" t="e">
        <f>VLOOKUP(H8,Data!$ZL$2:$ZM$8,2,FALSE)</f>
        <v>#N/A</v>
      </c>
      <c r="BJ8" s="92" t="e">
        <f>VLOOKUP(H8,Data!$ZW$2:$ZX$9,2,FALSE)</f>
        <v>#N/A</v>
      </c>
      <c r="BK8" s="92" t="e">
        <f>VLOOKUP(H8,Data!$ZW$2:$ZY$8,3,FALSE)</f>
        <v>#N/A</v>
      </c>
      <c r="BL8" s="92" t="str">
        <f t="shared" ref="BL8:BL39" si="0">IF(F8="","",IF(F8&lt;BJ8,"Yes","No"))</f>
        <v/>
      </c>
      <c r="BM8" s="92" t="str">
        <f t="shared" ref="BM8:BM39" si="1">IF(F8="","",IF(F8&gt;BK8,"Yes","No"))</f>
        <v/>
      </c>
      <c r="BN8" s="92" t="str">
        <f>IF(COUNTIF(BL8:BM8,$BN$6),"Check Size","")</f>
        <v/>
      </c>
      <c r="BO8" s="33" t="e">
        <f>F8/H8</f>
        <v>#DIV/0!</v>
      </c>
      <c r="BP8" s="33" t="e">
        <f>IF(BO8&lt;400, "Yes", "No")</f>
        <v>#DIV/0!</v>
      </c>
      <c r="BQ8" s="33" t="e">
        <f>IF(BO8&gt;1000, "Yes", "No")</f>
        <v>#DIV/0!</v>
      </c>
      <c r="BR8" s="33" t="str">
        <f>IF(COUNTIF(BP8:BQ8,$BN$6),"Check Size","")</f>
        <v/>
      </c>
    </row>
    <row r="9" spans="1:70" ht="30" customHeight="1" thickTop="1" thickBot="1">
      <c r="A9" s="52">
        <v>2</v>
      </c>
      <c r="B9" s="13"/>
      <c r="C9" s="27"/>
      <c r="D9" s="13"/>
      <c r="E9" s="15"/>
      <c r="F9" s="14"/>
      <c r="G9" s="14"/>
      <c r="H9" s="14"/>
      <c r="I9" s="13"/>
      <c r="J9" s="14"/>
      <c r="K9" s="14"/>
      <c r="L9" s="484"/>
      <c r="M9" s="485"/>
      <c r="N9" s="15"/>
      <c r="O9" s="15"/>
      <c r="P9" s="15"/>
      <c r="Q9" s="13"/>
      <c r="R9" s="13"/>
      <c r="S9" s="13"/>
      <c r="T9" s="555"/>
      <c r="U9" s="556"/>
      <c r="V9" s="236"/>
      <c r="W9" s="237"/>
      <c r="X9" s="284" t="e">
        <f t="shared" ref="X9:X57" si="2">IF(AND(Y9="Yes",S9=""),"Enter","OK")</f>
        <v>#N/A</v>
      </c>
      <c r="Y9" s="284" t="e">
        <f>VLOOKUP(Q9,Data!$QH$2:$QI$4,2,FALSE)</f>
        <v>#N/A</v>
      </c>
      <c r="AA9" s="284" t="e">
        <f t="shared" ref="AA9:AA57" si="3">IF(AND(Y9="Yes",R9=""),"Enter","OK")</f>
        <v>#N/A</v>
      </c>
      <c r="AB9" s="92" t="str">
        <f>IF(COUNTIF($J$8:$J$57,Data!KF4),Data!KG4,"")</f>
        <v/>
      </c>
      <c r="AD9" s="92" t="e">
        <f>IF(#REF!=Data!$KK$2,Data!$KM$1,IF(#REF!=Data!$KK$3,Data!$KN$1,IF(#REF!=Data!$KK$4,Data!$KP$1,IF(#REF!=Data!$KK$5,Data!$KQ$1))))</f>
        <v>#REF!</v>
      </c>
      <c r="AE9" s="33" t="str">
        <f>IF(D9=Data!$W$10,Data!$QJ$1,Data!$QK$1)</f>
        <v>RollerControl</v>
      </c>
      <c r="AH9" s="33" t="b">
        <f>IF(Q9=Data!$PX$2,Data!$PZ$1,IF(Q9=Data!$PX$3,Data!$PY$1,IF(Q9=Data!$PX$4,Data!$QA$1)))</f>
        <v>0</v>
      </c>
      <c r="AJ9" s="33" t="b">
        <f>IF(Q9=Data!$PX$3,Data!$QB$1,IF(Q9=Data!$PX$2,Data!$QC$1,IF(Q9=Data!$PX$4,Data!$QD$1)))</f>
        <v>0</v>
      </c>
      <c r="AL9" s="33" t="str">
        <f>IF(D9=Data!$W$3,Data!$QF$1,IF(D9=Data!$W$4,Data!$QF$1,IF(D9=Data!$W$5,Data!$QF$1,IF(D9=Data!$W$6,Data!$QF$1,IF(D9=Data!$W$7,Data!$QF$1,IF(D9=Data!$W$8,Data!$QF$1,IF(D9=Data!$W$9,Data!$QF$1,IF(D9=Data!$W$10,Data!$QE$1,IF(D9=Data!$W$11,Data!$QF$1,IF(D9=Data!$W$12,Data!$QF$1,IF(D9=Data!$W$13,Data!$QF$1,IF(D9=Data!$W$14,Data!$QF$1,IF(D9=Data!$W$15,Data!$QF$1,IF(D9=Data!$W$16,Data!$QF$1))))))))))))))</f>
        <v>RollerBracketType2</v>
      </c>
      <c r="AV9" s="40" t="e">
        <f>IF(AND(G9&lt;2130, OR(#REF!&lt;2100)),Data!$KS$1,Data!$KT$1)</f>
        <v>#REF!</v>
      </c>
      <c r="AW9" s="92" t="e">
        <f>MATCH(#REF!,Data!$LA$1:$LD$1,0)</f>
        <v>#REF!</v>
      </c>
      <c r="AX9" s="92" t="e">
        <f>MATCH('Panel Glide Blinds'!AV9,Data!$KZ$2:$KZ$3,0)</f>
        <v>#REF!</v>
      </c>
      <c r="AY9" s="92" t="e">
        <f>INDEX(Data!$LA$2:$LD$3,'Panel Glide Blinds'!AX9,'Panel Glide Blinds'!AW9)</f>
        <v>#REF!</v>
      </c>
      <c r="BB9" s="92" t="e">
        <f>IF(#REF!=Data!$QK$2,Data!$QL$1,IF(#REF!=Data!$QK$3,Data!$QM$1,IF(#REF!=Data!$QK$4,Data!$QN$1,IF(#REF!=Data!$QK$5,Data!$QO$1,IF(#REF!=Data!$QK$6,Data!$QP$1,IF(#REF!=Data!$QK$7,Data!$QQ$1,IF(#REF!=Data!$QK$8,Data!$QR$1,IF(#REF!=Data!$QK$9,Data!$QS$1,IF(#REF!=Data!$QK$10,Data!$QT$1,IF(#REF!=Data!$QK$11,Data!$QU$1))))))))))</f>
        <v>#REF!</v>
      </c>
      <c r="BC9" s="33" t="e">
        <f>IF(#REF!=Data!$QK$2,Data!$QL$17,IF(#REF!=Data!$QK$3,Data!$QM$17,IF(#REF!=Data!$QK$4,Data!$QN$17,IF(#REF!=Data!$QK$5,Data!$QO$17,IF(#REF!=Data!$QK$6,Data!$QP$17,IF(#REF!=Data!$QK$7,Data!$QQ$17,IF(#REF!=Data!$QK$8,Data!$QR$17,IF(#REF!=Data!$QK$9,Data!$QS$17,IF(#REF!=Data!$QK$10,Data!$QT$17,IF(#REF!=Data!$QK$11,Data!$QU$17))))))))))</f>
        <v>#REF!</v>
      </c>
      <c r="BD9" s="33" t="e">
        <f>IF(#REF!=Data!$PU$2,Data!$PW$1,IF(#REF!=Data!$PU$3,Data!$PW$1,IF(#REF!=Data!$PU$4,Data!$PV$1,IF(#REF!=Data!$PU$5,Data!$PV$1,))))</f>
        <v>#REF!</v>
      </c>
      <c r="BE9" s="33" t="e">
        <f>MATCH('Panel Glide Blinds'!D9,Data!$YK$2:$YK$15)</f>
        <v>#N/A</v>
      </c>
      <c r="BF9" s="33" t="e">
        <f>MATCH(O9,Data!$YL$1:$YM$1)</f>
        <v>#N/A</v>
      </c>
      <c r="BG9" s="33" t="e">
        <f>INDEX(Data!$YL$2:$YM$15,BE9,BF9)</f>
        <v>#N/A</v>
      </c>
      <c r="BH9" s="33" t="b">
        <f>IF(O9=Data!$ZF$1,Data!$ZD$1,IF(O9=Data!$ZF$2,Data!$ZE$1))</f>
        <v>0</v>
      </c>
      <c r="BI9" s="33" t="e">
        <f>VLOOKUP(H9,Data!$ZL$2:$ZM$8,2,FALSE)</f>
        <v>#N/A</v>
      </c>
      <c r="BJ9" s="92" t="e">
        <f>VLOOKUP(H9,Data!$ZW$2:$ZX$9,2,FALSE)</f>
        <v>#N/A</v>
      </c>
      <c r="BK9" s="92" t="e">
        <f>VLOOKUP(H9,Data!$ZW$2:$ZY$8,3,FALSE)</f>
        <v>#N/A</v>
      </c>
      <c r="BL9" s="92" t="str">
        <f t="shared" si="0"/>
        <v/>
      </c>
      <c r="BM9" s="92" t="str">
        <f t="shared" si="1"/>
        <v/>
      </c>
      <c r="BN9" s="92" t="str">
        <f t="shared" ref="BN9:BN57" si="4">IF(COUNTIF(BL9:BM9,$BN$6),"Check Size","")</f>
        <v/>
      </c>
      <c r="BO9" s="33" t="e">
        <f t="shared" ref="BO9:BO57" si="5">F9/H9</f>
        <v>#DIV/0!</v>
      </c>
      <c r="BP9" s="33" t="e">
        <f t="shared" ref="BP9:BP57" si="6">IF(BO9&lt;400, "Yes", "No")</f>
        <v>#DIV/0!</v>
      </c>
      <c r="BQ9" s="33" t="e">
        <f t="shared" ref="BQ9:BQ57" si="7">IF(BO9&gt;1000, "Yes", "No")</f>
        <v>#DIV/0!</v>
      </c>
      <c r="BR9" s="33" t="str">
        <f t="shared" ref="BR9:BR57" si="8">IF(COUNTIF(BP9:BQ9,$BN$6),"Check Size","")</f>
        <v/>
      </c>
    </row>
    <row r="10" spans="1:70" ht="30" customHeight="1" thickTop="1" thickBot="1">
      <c r="A10" s="53">
        <v>3</v>
      </c>
      <c r="B10" s="17"/>
      <c r="C10" s="17"/>
      <c r="D10" s="13"/>
      <c r="E10" s="15"/>
      <c r="F10" s="14"/>
      <c r="G10" s="14"/>
      <c r="H10" s="14"/>
      <c r="I10" s="13"/>
      <c r="J10" s="14"/>
      <c r="K10" s="14"/>
      <c r="L10" s="484"/>
      <c r="M10" s="485"/>
      <c r="N10" s="15"/>
      <c r="O10" s="15"/>
      <c r="P10" s="15"/>
      <c r="Q10" s="13"/>
      <c r="R10" s="13"/>
      <c r="S10" s="13"/>
      <c r="T10" s="555"/>
      <c r="U10" s="556"/>
      <c r="V10" s="236"/>
      <c r="W10" s="237"/>
      <c r="X10" s="284" t="e">
        <f t="shared" si="2"/>
        <v>#N/A</v>
      </c>
      <c r="Y10" s="284" t="e">
        <f>VLOOKUP(Q10,Data!$QH$2:$QI$4,2,FALSE)</f>
        <v>#N/A</v>
      </c>
      <c r="AA10" s="284" t="e">
        <f t="shared" si="3"/>
        <v>#N/A</v>
      </c>
      <c r="AB10" s="92" t="str">
        <f>IF(COUNTIF($J$8:$J$57,Data!KF5),Data!KG5,"")</f>
        <v/>
      </c>
      <c r="AD10" s="92" t="e">
        <f>IF(#REF!=Data!$KK$2,Data!$KM$1,IF(#REF!=Data!$KK$3,Data!$KN$1,IF(#REF!=Data!$KK$4,Data!$KP$1,IF(#REF!=Data!$KK$5,Data!$KQ$1))))</f>
        <v>#REF!</v>
      </c>
      <c r="AE10" s="33" t="str">
        <f>IF(D10=Data!$W$10,Data!$QJ$1,Data!$QK$1)</f>
        <v>RollerControl</v>
      </c>
      <c r="AH10" s="33" t="b">
        <f>IF(Q10=Data!$PX$2,Data!$PZ$1,IF(Q10=Data!$PX$3,Data!$PY$1,IF(Q10=Data!$PX$4,Data!$QA$1)))</f>
        <v>0</v>
      </c>
      <c r="AJ10" s="33" t="b">
        <f>IF(Q10=Data!$PX$3,Data!$QB$1,IF(Q10=Data!$PX$2,Data!$QC$1,IF(Q10=Data!$PX$4,Data!$QD$1)))</f>
        <v>0</v>
      </c>
      <c r="AL10" s="33" t="str">
        <f>IF(D10=Data!$W$3,Data!$QF$1,IF(D10=Data!$W$4,Data!$QF$1,IF(D10=Data!$W$5,Data!$QF$1,IF(D10=Data!$W$6,Data!$QF$1,IF(D10=Data!$W$7,Data!$QF$1,IF(D10=Data!$W$8,Data!$QF$1,IF(D10=Data!$W$9,Data!$QF$1,IF(D10=Data!$W$10,Data!$QE$1,IF(D10=Data!$W$11,Data!$QF$1,IF(D10=Data!$W$12,Data!$QF$1,IF(D10=Data!$W$13,Data!$QF$1,IF(D10=Data!$W$14,Data!$QF$1,IF(D10=Data!$W$15,Data!$QF$1,IF(D10=Data!$W$16,Data!$QF$1))))))))))))))</f>
        <v>RollerBracketType2</v>
      </c>
      <c r="AV10" s="40" t="e">
        <f>IF(AND(G10&lt;2130, OR(#REF!&lt;2100)),Data!$KS$1,Data!$KT$1)</f>
        <v>#REF!</v>
      </c>
      <c r="AW10" s="92" t="e">
        <f>MATCH(#REF!,Data!$LA$1:$LD$1,0)</f>
        <v>#REF!</v>
      </c>
      <c r="AX10" s="92" t="e">
        <f>MATCH('Panel Glide Blinds'!AV10,Data!$KZ$2:$KZ$3,0)</f>
        <v>#REF!</v>
      </c>
      <c r="AY10" s="92" t="e">
        <f>INDEX(Data!$LA$2:$LD$3,'Panel Glide Blinds'!AX10,'Panel Glide Blinds'!AW10)</f>
        <v>#REF!</v>
      </c>
      <c r="BB10" s="92" t="e">
        <f>IF(#REF!=Data!$QK$2,Data!$QL$1,IF(#REF!=Data!$QK$3,Data!$QM$1,IF(#REF!=Data!$QK$4,Data!$QN$1,IF(#REF!=Data!$QK$5,Data!$QO$1,IF(#REF!=Data!$QK$6,Data!$QP$1,IF(#REF!=Data!$QK$7,Data!$QQ$1,IF(#REF!=Data!$QK$8,Data!$QR$1,IF(#REF!=Data!$QK$9,Data!$QS$1,IF(#REF!=Data!$QK$10,Data!$QT$1,IF(#REF!=Data!$QK$11,Data!$QU$1))))))))))</f>
        <v>#REF!</v>
      </c>
      <c r="BC10" s="33" t="e">
        <f>IF(#REF!=Data!$QK$2,Data!$QL$17,IF(#REF!=Data!$QK$3,Data!$QM$17,IF(#REF!=Data!$QK$4,Data!$QN$17,IF(#REF!=Data!$QK$5,Data!$QO$17,IF(#REF!=Data!$QK$6,Data!$QP$17,IF(#REF!=Data!$QK$7,Data!$QQ$17,IF(#REF!=Data!$QK$8,Data!$QR$17,IF(#REF!=Data!$QK$9,Data!$QS$17,IF(#REF!=Data!$QK$10,Data!$QT$17,IF(#REF!=Data!$QK$11,Data!$QU$17))))))))))</f>
        <v>#REF!</v>
      </c>
      <c r="BD10" s="33" t="e">
        <f>IF(#REF!=Data!$PU$2,Data!$PW$1,IF(#REF!=Data!$PU$3,Data!$PW$1,IF(#REF!=Data!$PU$4,Data!$PV$1,IF(#REF!=Data!$PU$5,Data!$PV$1,))))</f>
        <v>#REF!</v>
      </c>
      <c r="BE10" s="33" t="e">
        <f>MATCH('Panel Glide Blinds'!D10,Data!$YK$2:$YK$15)</f>
        <v>#N/A</v>
      </c>
      <c r="BF10" s="33" t="e">
        <f>MATCH(O10,Data!$YL$1:$YM$1)</f>
        <v>#N/A</v>
      </c>
      <c r="BG10" s="33" t="e">
        <f>INDEX(Data!$YL$2:$YM$15,BE10,BF10)</f>
        <v>#N/A</v>
      </c>
      <c r="BH10" s="33" t="b">
        <f>IF(O10=Data!$ZF$1,Data!$ZD$1,IF(O10=Data!$ZF$2,Data!$ZE$1))</f>
        <v>0</v>
      </c>
      <c r="BI10" s="33" t="e">
        <f>VLOOKUP(H10,Data!$ZL$2:$ZM$8,2,FALSE)</f>
        <v>#N/A</v>
      </c>
      <c r="BJ10" s="92" t="e">
        <f>VLOOKUP(H10,Data!$ZW$2:$ZX$9,2,FALSE)</f>
        <v>#N/A</v>
      </c>
      <c r="BK10" s="92" t="e">
        <f>VLOOKUP(H10,Data!$ZW$2:$ZY$8,3,FALSE)</f>
        <v>#N/A</v>
      </c>
      <c r="BL10" s="92" t="str">
        <f t="shared" si="0"/>
        <v/>
      </c>
      <c r="BM10" s="92" t="str">
        <f t="shared" si="1"/>
        <v/>
      </c>
      <c r="BN10" s="92" t="str">
        <f t="shared" si="4"/>
        <v/>
      </c>
      <c r="BO10" s="33" t="e">
        <f t="shared" si="5"/>
        <v>#DIV/0!</v>
      </c>
      <c r="BP10" s="33" t="e">
        <f t="shared" si="6"/>
        <v>#DIV/0!</v>
      </c>
      <c r="BQ10" s="33" t="e">
        <f t="shared" si="7"/>
        <v>#DIV/0!</v>
      </c>
      <c r="BR10" s="33" t="str">
        <f t="shared" si="8"/>
        <v/>
      </c>
    </row>
    <row r="11" spans="1:70" ht="30" customHeight="1" thickTop="1" thickBot="1">
      <c r="A11" s="53">
        <v>4</v>
      </c>
      <c r="B11" s="17"/>
      <c r="C11" s="17"/>
      <c r="D11" s="13"/>
      <c r="E11" s="15"/>
      <c r="F11" s="14"/>
      <c r="G11" s="14"/>
      <c r="H11" s="14"/>
      <c r="I11" s="13"/>
      <c r="J11" s="14"/>
      <c r="K11" s="14"/>
      <c r="L11" s="484"/>
      <c r="M11" s="485"/>
      <c r="N11" s="15"/>
      <c r="O11" s="15"/>
      <c r="P11" s="15"/>
      <c r="Q11" s="13"/>
      <c r="R11" s="13"/>
      <c r="S11" s="13"/>
      <c r="T11" s="555"/>
      <c r="U11" s="556"/>
      <c r="V11" s="236"/>
      <c r="W11" s="237"/>
      <c r="X11" s="284" t="e">
        <f t="shared" si="2"/>
        <v>#N/A</v>
      </c>
      <c r="Y11" s="284" t="e">
        <f>VLOOKUP(Q11,Data!$QH$2:$QI$4,2,FALSE)</f>
        <v>#N/A</v>
      </c>
      <c r="AA11" s="284" t="e">
        <f t="shared" si="3"/>
        <v>#N/A</v>
      </c>
      <c r="AB11" s="92" t="str">
        <f>IF(COUNTIF($J$8:$J$57,Data!KF6),Data!KG6,"")</f>
        <v/>
      </c>
      <c r="AD11" s="92" t="e">
        <f>IF(#REF!=Data!$KK$2,Data!$KM$1,IF(#REF!=Data!$KK$3,Data!$KN$1,IF(#REF!=Data!$KK$4,Data!$KP$1,IF(#REF!=Data!$KK$5,Data!$KQ$1))))</f>
        <v>#REF!</v>
      </c>
      <c r="AE11" s="33" t="str">
        <f>IF(D11=Data!$W$10,Data!$QJ$1,Data!$QK$1)</f>
        <v>RollerControl</v>
      </c>
      <c r="AH11" s="33" t="b">
        <f>IF(Q11=Data!$PX$2,Data!$PZ$1,IF(Q11=Data!$PX$3,Data!$PY$1,IF(Q11=Data!$PX$4,Data!$QA$1)))</f>
        <v>0</v>
      </c>
      <c r="AJ11" s="33" t="b">
        <f>IF(Q11=Data!$PX$3,Data!$QB$1,IF(Q11=Data!$PX$2,Data!$QC$1,IF(Q11=Data!$PX$4,Data!$QD$1)))</f>
        <v>0</v>
      </c>
      <c r="AL11" s="33" t="str">
        <f>IF(D11=Data!$W$3,Data!$QF$1,IF(D11=Data!$W$4,Data!$QF$1,IF(D11=Data!$W$5,Data!$QF$1,IF(D11=Data!$W$6,Data!$QF$1,IF(D11=Data!$W$7,Data!$QF$1,IF(D11=Data!$W$8,Data!$QF$1,IF(D11=Data!$W$9,Data!$QF$1,IF(D11=Data!$W$10,Data!$QE$1,IF(D11=Data!$W$11,Data!$QF$1,IF(D11=Data!$W$12,Data!$QF$1,IF(D11=Data!$W$13,Data!$QF$1,IF(D11=Data!$W$14,Data!$QF$1,IF(D11=Data!$W$15,Data!$QF$1,IF(D11=Data!$W$16,Data!$QF$1))))))))))))))</f>
        <v>RollerBracketType2</v>
      </c>
      <c r="AV11" s="40" t="e">
        <f>IF(AND(G11&lt;2130, OR(#REF!&lt;2100)),Data!$KS$1,Data!$KT$1)</f>
        <v>#REF!</v>
      </c>
      <c r="AW11" s="92" t="e">
        <f>MATCH(#REF!,Data!$LA$1:$LD$1,0)</f>
        <v>#REF!</v>
      </c>
      <c r="AX11" s="92" t="e">
        <f>MATCH('Panel Glide Blinds'!AV11,Data!$KZ$2:$KZ$3,0)</f>
        <v>#REF!</v>
      </c>
      <c r="AY11" s="92" t="e">
        <f>INDEX(Data!$LA$2:$LD$3,'Panel Glide Blinds'!AX11,'Panel Glide Blinds'!AW11)</f>
        <v>#REF!</v>
      </c>
      <c r="BB11" s="92" t="e">
        <f>IF(#REF!=Data!$QK$2,Data!$QL$1,IF(#REF!=Data!$QK$3,Data!$QM$1,IF(#REF!=Data!$QK$4,Data!$QN$1,IF(#REF!=Data!$QK$5,Data!$QO$1,IF(#REF!=Data!$QK$6,Data!$QP$1,IF(#REF!=Data!$QK$7,Data!$QQ$1,IF(#REF!=Data!$QK$8,Data!$QR$1,IF(#REF!=Data!$QK$9,Data!$QS$1,IF(#REF!=Data!$QK$10,Data!$QT$1,IF(#REF!=Data!$QK$11,Data!$QU$1))))))))))</f>
        <v>#REF!</v>
      </c>
      <c r="BC11" s="33" t="e">
        <f>IF(#REF!=Data!$QK$2,Data!$QL$17,IF(#REF!=Data!$QK$3,Data!$QM$17,IF(#REF!=Data!$QK$4,Data!$QN$17,IF(#REF!=Data!$QK$5,Data!$QO$17,IF(#REF!=Data!$QK$6,Data!$QP$17,IF(#REF!=Data!$QK$7,Data!$QQ$17,IF(#REF!=Data!$QK$8,Data!$QR$17,IF(#REF!=Data!$QK$9,Data!$QS$17,IF(#REF!=Data!$QK$10,Data!$QT$17,IF(#REF!=Data!$QK$11,Data!$QU$17))))))))))</f>
        <v>#REF!</v>
      </c>
      <c r="BD11" s="33" t="e">
        <f>IF(#REF!=Data!$PU$2,Data!$PW$1,IF(#REF!=Data!$PU$3,Data!$PW$1,IF(#REF!=Data!$PU$4,Data!$PV$1,IF(#REF!=Data!$PU$5,Data!$PV$1,))))</f>
        <v>#REF!</v>
      </c>
      <c r="BE11" s="33" t="e">
        <f>MATCH('Panel Glide Blinds'!D11,Data!$YK$2:$YK$15)</f>
        <v>#N/A</v>
      </c>
      <c r="BF11" s="33" t="e">
        <f>MATCH(O11,Data!$YL$1:$YM$1)</f>
        <v>#N/A</v>
      </c>
      <c r="BG11" s="33" t="e">
        <f>INDEX(Data!$YL$2:$YM$15,BE11,BF11)</f>
        <v>#N/A</v>
      </c>
      <c r="BH11" s="33" t="b">
        <f>IF(O11=Data!$ZF$1,Data!$ZD$1,IF(O11=Data!$ZF$2,Data!$ZE$1))</f>
        <v>0</v>
      </c>
      <c r="BI11" s="33" t="e">
        <f>VLOOKUP(H11,Data!$ZL$2:$ZM$8,2,FALSE)</f>
        <v>#N/A</v>
      </c>
      <c r="BJ11" s="92" t="e">
        <f>VLOOKUP(H11,Data!$ZW$2:$ZX$9,2,FALSE)</f>
        <v>#N/A</v>
      </c>
      <c r="BK11" s="92" t="e">
        <f>VLOOKUP(H11,Data!$ZW$2:$ZY$8,3,FALSE)</f>
        <v>#N/A</v>
      </c>
      <c r="BL11" s="92" t="str">
        <f t="shared" si="0"/>
        <v/>
      </c>
      <c r="BM11" s="92" t="str">
        <f t="shared" si="1"/>
        <v/>
      </c>
      <c r="BN11" s="92" t="str">
        <f t="shared" si="4"/>
        <v/>
      </c>
      <c r="BO11" s="33" t="e">
        <f t="shared" si="5"/>
        <v>#DIV/0!</v>
      </c>
      <c r="BP11" s="33" t="e">
        <f t="shared" si="6"/>
        <v>#DIV/0!</v>
      </c>
      <c r="BQ11" s="33" t="e">
        <f t="shared" si="7"/>
        <v>#DIV/0!</v>
      </c>
      <c r="BR11" s="33" t="str">
        <f t="shared" si="8"/>
        <v/>
      </c>
    </row>
    <row r="12" spans="1:70" ht="30" customHeight="1" thickTop="1" thickBot="1">
      <c r="A12" s="53">
        <v>5</v>
      </c>
      <c r="B12" s="17"/>
      <c r="C12" s="17"/>
      <c r="D12" s="13"/>
      <c r="E12" s="15"/>
      <c r="F12" s="14"/>
      <c r="G12" s="14"/>
      <c r="H12" s="14"/>
      <c r="I12" s="13"/>
      <c r="J12" s="14"/>
      <c r="K12" s="14"/>
      <c r="L12" s="484"/>
      <c r="M12" s="485"/>
      <c r="N12" s="15"/>
      <c r="O12" s="15"/>
      <c r="P12" s="15"/>
      <c r="Q12" s="13"/>
      <c r="R12" s="13"/>
      <c r="S12" s="13"/>
      <c r="T12" s="555"/>
      <c r="U12" s="556"/>
      <c r="V12" s="236"/>
      <c r="W12" s="237"/>
      <c r="X12" s="284" t="e">
        <f t="shared" si="2"/>
        <v>#N/A</v>
      </c>
      <c r="Y12" s="284" t="e">
        <f>VLOOKUP(Q12,Data!$QH$2:$QI$4,2,FALSE)</f>
        <v>#N/A</v>
      </c>
      <c r="AA12" s="284" t="e">
        <f t="shared" si="3"/>
        <v>#N/A</v>
      </c>
      <c r="AB12" s="92" t="str">
        <f>IF(COUNTIF($J$8:$J$57,Data!KF7),Data!KG7,"")</f>
        <v/>
      </c>
      <c r="AD12" s="92" t="e">
        <f>IF(#REF!=Data!$KK$2,Data!$KM$1,IF(#REF!=Data!$KK$3,Data!$KN$1,IF(#REF!=Data!$KK$4,Data!$KP$1,IF(#REF!=Data!$KK$5,Data!$KQ$1))))</f>
        <v>#REF!</v>
      </c>
      <c r="AE12" s="33" t="str">
        <f>IF(D12=Data!$W$10,Data!$QJ$1,Data!$QK$1)</f>
        <v>RollerControl</v>
      </c>
      <c r="AH12" s="33" t="b">
        <f>IF(Q12=Data!$PX$2,Data!$PZ$1,IF(Q12=Data!$PX$3,Data!$PY$1,IF(Q12=Data!$PX$4,Data!$QA$1)))</f>
        <v>0</v>
      </c>
      <c r="AJ12" s="33" t="b">
        <f>IF(Q12=Data!$PX$3,Data!$QB$1,IF(Q12=Data!$PX$2,Data!$QC$1,IF(Q12=Data!$PX$4,Data!$QD$1)))</f>
        <v>0</v>
      </c>
      <c r="AL12" s="33" t="str">
        <f>IF(D12=Data!$W$3,Data!$QF$1,IF(D12=Data!$W$4,Data!$QF$1,IF(D12=Data!$W$5,Data!$QF$1,IF(D12=Data!$W$6,Data!$QF$1,IF(D12=Data!$W$7,Data!$QF$1,IF(D12=Data!$W$8,Data!$QF$1,IF(D12=Data!$W$9,Data!$QF$1,IF(D12=Data!$W$10,Data!$QE$1,IF(D12=Data!$W$11,Data!$QF$1,IF(D12=Data!$W$12,Data!$QF$1,IF(D12=Data!$W$13,Data!$QF$1,IF(D12=Data!$W$14,Data!$QF$1,IF(D12=Data!$W$15,Data!$QF$1,IF(D12=Data!$W$16,Data!$QF$1))))))))))))))</f>
        <v>RollerBracketType2</v>
      </c>
      <c r="AV12" s="40" t="e">
        <f>IF(AND(G12&lt;2130, OR(#REF!&lt;2100)),Data!$KS$1,Data!$KT$1)</f>
        <v>#REF!</v>
      </c>
      <c r="AW12" s="92" t="e">
        <f>MATCH(#REF!,Data!$LA$1:$LD$1,0)</f>
        <v>#REF!</v>
      </c>
      <c r="AX12" s="92" t="e">
        <f>MATCH('Panel Glide Blinds'!AV12,Data!$KZ$2:$KZ$3,0)</f>
        <v>#REF!</v>
      </c>
      <c r="AY12" s="92" t="e">
        <f>INDEX(Data!$LA$2:$LD$3,'Panel Glide Blinds'!AX12,'Panel Glide Blinds'!AW12)</f>
        <v>#REF!</v>
      </c>
      <c r="BB12" s="92" t="e">
        <f>IF(#REF!=Data!$QK$2,Data!$QL$1,IF(#REF!=Data!$QK$3,Data!$QM$1,IF(#REF!=Data!$QK$4,Data!$QN$1,IF(#REF!=Data!$QK$5,Data!$QO$1,IF(#REF!=Data!$QK$6,Data!$QP$1,IF(#REF!=Data!$QK$7,Data!$QQ$1,IF(#REF!=Data!$QK$8,Data!$QR$1,IF(#REF!=Data!$QK$9,Data!$QS$1,IF(#REF!=Data!$QK$10,Data!$QT$1,IF(#REF!=Data!$QK$11,Data!$QU$1))))))))))</f>
        <v>#REF!</v>
      </c>
      <c r="BC12" s="33" t="e">
        <f>IF(#REF!=Data!$QK$2,Data!$QL$17,IF(#REF!=Data!$QK$3,Data!$QM$17,IF(#REF!=Data!$QK$4,Data!$QN$17,IF(#REF!=Data!$QK$5,Data!$QO$17,IF(#REF!=Data!$QK$6,Data!$QP$17,IF(#REF!=Data!$QK$7,Data!$QQ$17,IF(#REF!=Data!$QK$8,Data!$QR$17,IF(#REF!=Data!$QK$9,Data!$QS$17,IF(#REF!=Data!$QK$10,Data!$QT$17,IF(#REF!=Data!$QK$11,Data!$QU$17))))))))))</f>
        <v>#REF!</v>
      </c>
      <c r="BD12" s="33" t="e">
        <f>IF(#REF!=Data!$PU$2,Data!$PW$1,IF(#REF!=Data!$PU$3,Data!$PW$1,IF(#REF!=Data!$PU$4,Data!$PV$1,IF(#REF!=Data!$PU$5,Data!$PV$1,))))</f>
        <v>#REF!</v>
      </c>
      <c r="BE12" s="33" t="e">
        <f>MATCH('Panel Glide Blinds'!D12,Data!$YK$2:$YK$15)</f>
        <v>#N/A</v>
      </c>
      <c r="BF12" s="33" t="e">
        <f>MATCH(O12,Data!$YL$1:$YM$1)</f>
        <v>#N/A</v>
      </c>
      <c r="BG12" s="33" t="e">
        <f>INDEX(Data!$YL$2:$YM$15,BE12,BF12)</f>
        <v>#N/A</v>
      </c>
      <c r="BH12" s="33" t="b">
        <f>IF(O12=Data!$ZF$1,Data!$ZD$1,IF(O12=Data!$ZF$2,Data!$ZE$1))</f>
        <v>0</v>
      </c>
      <c r="BI12" s="33" t="e">
        <f>VLOOKUP(H12,Data!$ZL$2:$ZM$8,2,FALSE)</f>
        <v>#N/A</v>
      </c>
      <c r="BJ12" s="92" t="e">
        <f>VLOOKUP(H12,Data!$ZW$2:$ZX$9,2,FALSE)</f>
        <v>#N/A</v>
      </c>
      <c r="BK12" s="92" t="e">
        <f>VLOOKUP(H12,Data!$ZW$2:$ZY$8,3,FALSE)</f>
        <v>#N/A</v>
      </c>
      <c r="BL12" s="92" t="str">
        <f t="shared" si="0"/>
        <v/>
      </c>
      <c r="BM12" s="92" t="str">
        <f t="shared" si="1"/>
        <v/>
      </c>
      <c r="BN12" s="92" t="str">
        <f t="shared" si="4"/>
        <v/>
      </c>
      <c r="BO12" s="33" t="e">
        <f t="shared" si="5"/>
        <v>#DIV/0!</v>
      </c>
      <c r="BP12" s="33" t="e">
        <f t="shared" si="6"/>
        <v>#DIV/0!</v>
      </c>
      <c r="BQ12" s="33" t="e">
        <f t="shared" si="7"/>
        <v>#DIV/0!</v>
      </c>
      <c r="BR12" s="33" t="str">
        <f t="shared" si="8"/>
        <v/>
      </c>
    </row>
    <row r="13" spans="1:70" ht="30" customHeight="1" thickTop="1" thickBot="1">
      <c r="A13" s="53">
        <v>6</v>
      </c>
      <c r="B13" s="17"/>
      <c r="C13" s="17"/>
      <c r="D13" s="13"/>
      <c r="E13" s="15"/>
      <c r="F13" s="14"/>
      <c r="G13" s="14"/>
      <c r="H13" s="14"/>
      <c r="I13" s="13"/>
      <c r="J13" s="14"/>
      <c r="K13" s="14"/>
      <c r="L13" s="484"/>
      <c r="M13" s="485"/>
      <c r="N13" s="15"/>
      <c r="O13" s="15"/>
      <c r="P13" s="15"/>
      <c r="Q13" s="13"/>
      <c r="R13" s="13"/>
      <c r="S13" s="13"/>
      <c r="T13" s="555"/>
      <c r="U13" s="556"/>
      <c r="V13" s="236"/>
      <c r="W13" s="237"/>
      <c r="X13" s="284" t="e">
        <f t="shared" si="2"/>
        <v>#N/A</v>
      </c>
      <c r="Y13" s="284" t="e">
        <f>VLOOKUP(Q13,Data!$QH$2:$QI$4,2,FALSE)</f>
        <v>#N/A</v>
      </c>
      <c r="AA13" s="284" t="e">
        <f t="shared" si="3"/>
        <v>#N/A</v>
      </c>
      <c r="AB13" s="92" t="str">
        <f>IF(COUNTIF($J$8:$J$57,Data!KF8),Data!KG8,"")</f>
        <v/>
      </c>
      <c r="AD13" s="92" t="e">
        <f>IF(#REF!=Data!$KK$2,Data!$KM$1,IF(#REF!=Data!$KK$3,Data!$KN$1,IF(#REF!=Data!$KK$4,Data!$KP$1,IF(#REF!=Data!$KK$5,Data!$KQ$1))))</f>
        <v>#REF!</v>
      </c>
      <c r="AE13" s="33" t="str">
        <f>IF(D13=Data!$W$10,Data!$QJ$1,Data!$QK$1)</f>
        <v>RollerControl</v>
      </c>
      <c r="AH13" s="33" t="b">
        <f>IF(Q13=Data!$PX$2,Data!$PZ$1,IF(Q13=Data!$PX$3,Data!$PY$1,IF(Q13=Data!$PX$4,Data!$QA$1)))</f>
        <v>0</v>
      </c>
      <c r="AJ13" s="33" t="b">
        <f>IF(Q13=Data!$PX$3,Data!$QB$1,IF(Q13=Data!$PX$2,Data!$QC$1,IF(Q13=Data!$PX$4,Data!$QD$1)))</f>
        <v>0</v>
      </c>
      <c r="AL13" s="33" t="str">
        <f>IF(D13=Data!$W$3,Data!$QF$1,IF(D13=Data!$W$4,Data!$QF$1,IF(D13=Data!$W$5,Data!$QF$1,IF(D13=Data!$W$6,Data!$QF$1,IF(D13=Data!$W$7,Data!$QF$1,IF(D13=Data!$W$8,Data!$QF$1,IF(D13=Data!$W$9,Data!$QF$1,IF(D13=Data!$W$10,Data!$QE$1,IF(D13=Data!$W$11,Data!$QF$1,IF(D13=Data!$W$12,Data!$QF$1,IF(D13=Data!$W$13,Data!$QF$1,IF(D13=Data!$W$14,Data!$QF$1,IF(D13=Data!$W$15,Data!$QF$1,IF(D13=Data!$W$16,Data!$QF$1))))))))))))))</f>
        <v>RollerBracketType2</v>
      </c>
      <c r="AV13" s="40" t="e">
        <f>IF(AND(G13&lt;2130, OR(#REF!&lt;2100)),Data!$KS$1,Data!$KT$1)</f>
        <v>#REF!</v>
      </c>
      <c r="AW13" s="92" t="e">
        <f>MATCH(#REF!,Data!$LA$1:$LD$1,0)</f>
        <v>#REF!</v>
      </c>
      <c r="AX13" s="92" t="e">
        <f>MATCH('Panel Glide Blinds'!AV13,Data!$KZ$2:$KZ$3,0)</f>
        <v>#REF!</v>
      </c>
      <c r="AY13" s="92" t="e">
        <f>INDEX(Data!$LA$2:$LD$3,'Panel Glide Blinds'!AX13,'Panel Glide Blinds'!AW13)</f>
        <v>#REF!</v>
      </c>
      <c r="BB13" s="92" t="e">
        <f>IF(#REF!=Data!$QK$2,Data!$QL$1,IF(#REF!=Data!$QK$3,Data!$QM$1,IF(#REF!=Data!$QK$4,Data!$QN$1,IF(#REF!=Data!$QK$5,Data!$QO$1,IF(#REF!=Data!$QK$6,Data!$QP$1,IF(#REF!=Data!$QK$7,Data!$QQ$1,IF(#REF!=Data!$QK$8,Data!$QR$1,IF(#REF!=Data!$QK$9,Data!$QS$1,IF(#REF!=Data!$QK$10,Data!$QT$1,IF(#REF!=Data!$QK$11,Data!$QU$1))))))))))</f>
        <v>#REF!</v>
      </c>
      <c r="BC13" s="33" t="e">
        <f>IF(#REF!=Data!$QK$2,Data!$QL$17,IF(#REF!=Data!$QK$3,Data!$QM$17,IF(#REF!=Data!$QK$4,Data!$QN$17,IF(#REF!=Data!$QK$5,Data!$QO$17,IF(#REF!=Data!$QK$6,Data!$QP$17,IF(#REF!=Data!$QK$7,Data!$QQ$17,IF(#REF!=Data!$QK$8,Data!$QR$17,IF(#REF!=Data!$QK$9,Data!$QS$17,IF(#REF!=Data!$QK$10,Data!$QT$17,IF(#REF!=Data!$QK$11,Data!$QU$17))))))))))</f>
        <v>#REF!</v>
      </c>
      <c r="BD13" s="33" t="e">
        <f>IF(#REF!=Data!$PU$2,Data!$PW$1,IF(#REF!=Data!$PU$3,Data!$PW$1,IF(#REF!=Data!$PU$4,Data!$PV$1,IF(#REF!=Data!$PU$5,Data!$PV$1,))))</f>
        <v>#REF!</v>
      </c>
      <c r="BE13" s="33" t="e">
        <f>MATCH('Panel Glide Blinds'!D13,Data!$YK$2:$YK$15)</f>
        <v>#N/A</v>
      </c>
      <c r="BF13" s="33" t="e">
        <f>MATCH(O13,Data!$YL$1:$YM$1)</f>
        <v>#N/A</v>
      </c>
      <c r="BG13" s="33" t="e">
        <f>INDEX(Data!$YL$2:$YM$15,BE13,BF13)</f>
        <v>#N/A</v>
      </c>
      <c r="BH13" s="33" t="b">
        <f>IF(O13=Data!$ZF$1,Data!$ZD$1,IF(O13=Data!$ZF$2,Data!$ZE$1))</f>
        <v>0</v>
      </c>
      <c r="BI13" s="33" t="e">
        <f>VLOOKUP(H13,Data!$ZL$2:$ZM$8,2,FALSE)</f>
        <v>#N/A</v>
      </c>
      <c r="BJ13" s="92" t="e">
        <f>VLOOKUP(H13,Data!$ZW$2:$ZX$9,2,FALSE)</f>
        <v>#N/A</v>
      </c>
      <c r="BK13" s="92" t="e">
        <f>VLOOKUP(H13,Data!$ZW$2:$ZY$8,3,FALSE)</f>
        <v>#N/A</v>
      </c>
      <c r="BL13" s="92" t="str">
        <f t="shared" si="0"/>
        <v/>
      </c>
      <c r="BM13" s="92" t="str">
        <f t="shared" si="1"/>
        <v/>
      </c>
      <c r="BN13" s="92" t="str">
        <f t="shared" si="4"/>
        <v/>
      </c>
      <c r="BO13" s="33" t="e">
        <f t="shared" si="5"/>
        <v>#DIV/0!</v>
      </c>
      <c r="BP13" s="33" t="e">
        <f t="shared" si="6"/>
        <v>#DIV/0!</v>
      </c>
      <c r="BQ13" s="33" t="e">
        <f t="shared" si="7"/>
        <v>#DIV/0!</v>
      </c>
      <c r="BR13" s="33" t="str">
        <f t="shared" si="8"/>
        <v/>
      </c>
    </row>
    <row r="14" spans="1:70" ht="30" customHeight="1" thickTop="1" thickBot="1">
      <c r="A14" s="53">
        <v>7</v>
      </c>
      <c r="B14" s="17"/>
      <c r="C14" s="17"/>
      <c r="D14" s="13"/>
      <c r="E14" s="15"/>
      <c r="F14" s="14"/>
      <c r="G14" s="14"/>
      <c r="H14" s="14"/>
      <c r="I14" s="13"/>
      <c r="J14" s="14"/>
      <c r="K14" s="14"/>
      <c r="L14" s="484"/>
      <c r="M14" s="485"/>
      <c r="N14" s="15"/>
      <c r="O14" s="15"/>
      <c r="P14" s="15"/>
      <c r="Q14" s="13"/>
      <c r="R14" s="13"/>
      <c r="S14" s="13"/>
      <c r="T14" s="555"/>
      <c r="U14" s="556"/>
      <c r="V14" s="236"/>
      <c r="W14" s="237"/>
      <c r="X14" s="284" t="e">
        <f t="shared" si="2"/>
        <v>#N/A</v>
      </c>
      <c r="Y14" s="284" t="e">
        <f>VLOOKUP(Q14,Data!$QH$2:$QI$4,2,FALSE)</f>
        <v>#N/A</v>
      </c>
      <c r="AA14" s="284" t="e">
        <f t="shared" si="3"/>
        <v>#N/A</v>
      </c>
      <c r="AB14" s="92" t="str">
        <f>IF(COUNTIF($J$8:$J$57,Data!KF9),Data!KG9,"")</f>
        <v/>
      </c>
      <c r="AD14" s="92" t="e">
        <f>IF(#REF!=Data!$KK$2,Data!$KM$1,IF(#REF!=Data!$KK$3,Data!$KN$1,IF(#REF!=Data!$KK$4,Data!$KP$1,IF(#REF!=Data!$KK$5,Data!$KQ$1))))</f>
        <v>#REF!</v>
      </c>
      <c r="AE14" s="33" t="str">
        <f>IF(D14=Data!$W$10,Data!$QJ$1,Data!$QK$1)</f>
        <v>RollerControl</v>
      </c>
      <c r="AH14" s="33" t="b">
        <f>IF(Q14=Data!$PX$2,Data!$PZ$1,IF(Q14=Data!$PX$3,Data!$PY$1,IF(Q14=Data!$PX$4,Data!$QA$1)))</f>
        <v>0</v>
      </c>
      <c r="AJ14" s="33" t="b">
        <f>IF(Q14=Data!$PX$3,Data!$QB$1,IF(Q14=Data!$PX$2,Data!$QC$1,IF(Q14=Data!$PX$4,Data!$QD$1)))</f>
        <v>0</v>
      </c>
      <c r="AL14" s="33" t="str">
        <f>IF(D14=Data!$W$3,Data!$QF$1,IF(D14=Data!$W$4,Data!$QF$1,IF(D14=Data!$W$5,Data!$QF$1,IF(D14=Data!$W$6,Data!$QF$1,IF(D14=Data!$W$7,Data!$QF$1,IF(D14=Data!$W$8,Data!$QF$1,IF(D14=Data!$W$9,Data!$QF$1,IF(D14=Data!$W$10,Data!$QE$1,IF(D14=Data!$W$11,Data!$QF$1,IF(D14=Data!$W$12,Data!$QF$1,IF(D14=Data!$W$13,Data!$QF$1,IF(D14=Data!$W$14,Data!$QF$1,IF(D14=Data!$W$15,Data!$QF$1,IF(D14=Data!$W$16,Data!$QF$1))))))))))))))</f>
        <v>RollerBracketType2</v>
      </c>
      <c r="AV14" s="40" t="e">
        <f>IF(AND(G14&lt;2130, OR(#REF!&lt;2100)),Data!$KS$1,Data!$KT$1)</f>
        <v>#REF!</v>
      </c>
      <c r="AW14" s="92" t="e">
        <f>MATCH(#REF!,Data!$LA$1:$LD$1,0)</f>
        <v>#REF!</v>
      </c>
      <c r="AX14" s="92" t="e">
        <f>MATCH('Panel Glide Blinds'!AV14,Data!$KZ$2:$KZ$3,0)</f>
        <v>#REF!</v>
      </c>
      <c r="AY14" s="92" t="e">
        <f>INDEX(Data!$LA$2:$LD$3,'Panel Glide Blinds'!AX14,'Panel Glide Blinds'!AW14)</f>
        <v>#REF!</v>
      </c>
      <c r="BB14" s="92" t="e">
        <f>IF(#REF!=Data!$QK$2,Data!$QL$1,IF(#REF!=Data!$QK$3,Data!$QM$1,IF(#REF!=Data!$QK$4,Data!$QN$1,IF(#REF!=Data!$QK$5,Data!$QO$1,IF(#REF!=Data!$QK$6,Data!$QP$1,IF(#REF!=Data!$QK$7,Data!$QQ$1,IF(#REF!=Data!$QK$8,Data!$QR$1,IF(#REF!=Data!$QK$9,Data!$QS$1,IF(#REF!=Data!$QK$10,Data!$QT$1,IF(#REF!=Data!$QK$11,Data!$QU$1))))))))))</f>
        <v>#REF!</v>
      </c>
      <c r="BC14" s="33" t="e">
        <f>IF(#REF!=Data!$QK$2,Data!$QL$17,IF(#REF!=Data!$QK$3,Data!$QM$17,IF(#REF!=Data!$QK$4,Data!$QN$17,IF(#REF!=Data!$QK$5,Data!$QO$17,IF(#REF!=Data!$QK$6,Data!$QP$17,IF(#REF!=Data!$QK$7,Data!$QQ$17,IF(#REF!=Data!$QK$8,Data!$QR$17,IF(#REF!=Data!$QK$9,Data!$QS$17,IF(#REF!=Data!$QK$10,Data!$QT$17,IF(#REF!=Data!$QK$11,Data!$QU$17))))))))))</f>
        <v>#REF!</v>
      </c>
      <c r="BD14" s="33" t="e">
        <f>IF(#REF!=Data!$PU$2,Data!$PW$1,IF(#REF!=Data!$PU$3,Data!$PW$1,IF(#REF!=Data!$PU$4,Data!$PV$1,IF(#REF!=Data!$PU$5,Data!$PV$1,))))</f>
        <v>#REF!</v>
      </c>
      <c r="BE14" s="33" t="e">
        <f>MATCH('Panel Glide Blinds'!D14,Data!$YK$2:$YK$15)</f>
        <v>#N/A</v>
      </c>
      <c r="BF14" s="33" t="e">
        <f>MATCH(O14,Data!$YL$1:$YM$1)</f>
        <v>#N/A</v>
      </c>
      <c r="BG14" s="33" t="e">
        <f>INDEX(Data!$YL$2:$YM$15,BE14,BF14)</f>
        <v>#N/A</v>
      </c>
      <c r="BH14" s="33" t="b">
        <f>IF(O14=Data!$ZF$1,Data!$ZD$1,IF(O14=Data!$ZF$2,Data!$ZE$1))</f>
        <v>0</v>
      </c>
      <c r="BI14" s="33" t="e">
        <f>VLOOKUP(H14,Data!$ZL$2:$ZM$8,2,FALSE)</f>
        <v>#N/A</v>
      </c>
      <c r="BJ14" s="92" t="e">
        <f>VLOOKUP(H14,Data!$ZW$2:$ZX$9,2,FALSE)</f>
        <v>#N/A</v>
      </c>
      <c r="BK14" s="92" t="e">
        <f>VLOOKUP(H14,Data!$ZW$2:$ZY$8,3,FALSE)</f>
        <v>#N/A</v>
      </c>
      <c r="BL14" s="92" t="str">
        <f t="shared" si="0"/>
        <v/>
      </c>
      <c r="BM14" s="92" t="str">
        <f t="shared" si="1"/>
        <v/>
      </c>
      <c r="BN14" s="92" t="str">
        <f t="shared" si="4"/>
        <v/>
      </c>
      <c r="BO14" s="33" t="e">
        <f t="shared" si="5"/>
        <v>#DIV/0!</v>
      </c>
      <c r="BP14" s="33" t="e">
        <f t="shared" si="6"/>
        <v>#DIV/0!</v>
      </c>
      <c r="BQ14" s="33" t="e">
        <f t="shared" si="7"/>
        <v>#DIV/0!</v>
      </c>
      <c r="BR14" s="33" t="str">
        <f t="shared" si="8"/>
        <v/>
      </c>
    </row>
    <row r="15" spans="1:70" ht="30" customHeight="1" thickTop="1" thickBot="1">
      <c r="A15" s="53">
        <v>8</v>
      </c>
      <c r="B15" s="17"/>
      <c r="C15" s="17"/>
      <c r="D15" s="19"/>
      <c r="E15" s="15"/>
      <c r="F15" s="14"/>
      <c r="G15" s="14"/>
      <c r="H15" s="14"/>
      <c r="I15" s="13"/>
      <c r="J15" s="14"/>
      <c r="K15" s="14"/>
      <c r="L15" s="484"/>
      <c r="M15" s="485"/>
      <c r="N15" s="15"/>
      <c r="O15" s="15"/>
      <c r="P15" s="15"/>
      <c r="Q15" s="13"/>
      <c r="R15" s="13"/>
      <c r="S15" s="13"/>
      <c r="T15" s="555"/>
      <c r="U15" s="556"/>
      <c r="V15" s="236"/>
      <c r="W15" s="237"/>
      <c r="X15" s="284" t="e">
        <f t="shared" si="2"/>
        <v>#N/A</v>
      </c>
      <c r="Y15" s="284" t="e">
        <f>VLOOKUP(Q15,Data!$QH$2:$QI$4,2,FALSE)</f>
        <v>#N/A</v>
      </c>
      <c r="AA15" s="284" t="e">
        <f t="shared" si="3"/>
        <v>#N/A</v>
      </c>
      <c r="AB15" s="92" t="str">
        <f>IF(COUNTIF(AB8:AB14,Data!KG6),Data!KH6,"")</f>
        <v/>
      </c>
      <c r="AD15" s="92" t="e">
        <f>IF(#REF!=Data!$KK$2,Data!$KM$1,IF(#REF!=Data!$KK$3,Data!$KN$1,IF(#REF!=Data!$KK$4,Data!$KP$1,IF(#REF!=Data!$KK$5,Data!$KQ$1))))</f>
        <v>#REF!</v>
      </c>
      <c r="AE15" s="33" t="str">
        <f>IF(D15=Data!$W$10,Data!$QJ$1,Data!$QK$1)</f>
        <v>RollerControl</v>
      </c>
      <c r="AH15" s="33" t="b">
        <f>IF(Q15=Data!$PX$2,Data!$PZ$1,IF(Q15=Data!$PX$3,Data!$PY$1,IF(Q15=Data!$PX$4,Data!$QA$1)))</f>
        <v>0</v>
      </c>
      <c r="AJ15" s="33" t="b">
        <f>IF(Q15=Data!$PX$3,Data!$QB$1,IF(Q15=Data!$PX$2,Data!$QC$1,IF(Q15=Data!$PX$4,Data!$QD$1)))</f>
        <v>0</v>
      </c>
      <c r="AL15" s="33" t="str">
        <f>IF(D15=Data!$W$3,Data!$QF$1,IF(D15=Data!$W$4,Data!$QF$1,IF(D15=Data!$W$5,Data!$QF$1,IF(D15=Data!$W$6,Data!$QF$1,IF(D15=Data!$W$7,Data!$QF$1,IF(D15=Data!$W$8,Data!$QF$1,IF(D15=Data!$W$9,Data!$QF$1,IF(D15=Data!$W$10,Data!$QE$1,IF(D15=Data!$W$11,Data!$QF$1,IF(D15=Data!$W$12,Data!$QF$1,IF(D15=Data!$W$13,Data!$QF$1,IF(D15=Data!$W$14,Data!$QF$1,IF(D15=Data!$W$15,Data!$QF$1,IF(D15=Data!$W$16,Data!$QF$1))))))))))))))</f>
        <v>RollerBracketType2</v>
      </c>
      <c r="AV15" s="40" t="e">
        <f>IF(AND(G15&lt;2130, OR(#REF!&lt;2100)),Data!$KS$1,Data!$KT$1)</f>
        <v>#REF!</v>
      </c>
      <c r="AW15" s="92" t="e">
        <f>MATCH(#REF!,Data!$LA$1:$LD$1,0)</f>
        <v>#REF!</v>
      </c>
      <c r="AX15" s="92" t="e">
        <f>MATCH('Panel Glide Blinds'!AV15,Data!$KZ$2:$KZ$3,0)</f>
        <v>#REF!</v>
      </c>
      <c r="AY15" s="92" t="e">
        <f>INDEX(Data!$LA$2:$LD$3,'Panel Glide Blinds'!AX15,'Panel Glide Blinds'!AW15)</f>
        <v>#REF!</v>
      </c>
      <c r="BB15" s="92" t="e">
        <f>IF(#REF!=Data!$QK$2,Data!$QL$1,IF(#REF!=Data!$QK$3,Data!$QM$1,IF(#REF!=Data!$QK$4,Data!$QN$1,IF(#REF!=Data!$QK$5,Data!$QO$1,IF(#REF!=Data!$QK$6,Data!$QP$1,IF(#REF!=Data!$QK$7,Data!$QQ$1,IF(#REF!=Data!$QK$8,Data!$QR$1,IF(#REF!=Data!$QK$9,Data!$QS$1,IF(#REF!=Data!$QK$10,Data!$QT$1,IF(#REF!=Data!$QK$11,Data!$QU$1))))))))))</f>
        <v>#REF!</v>
      </c>
      <c r="BC15" s="33" t="e">
        <f>IF(#REF!=Data!$QK$2,Data!$QL$17,IF(#REF!=Data!$QK$3,Data!$QM$17,IF(#REF!=Data!$QK$4,Data!$QN$17,IF(#REF!=Data!$QK$5,Data!$QO$17,IF(#REF!=Data!$QK$6,Data!$QP$17,IF(#REF!=Data!$QK$7,Data!$QQ$17,IF(#REF!=Data!$QK$8,Data!$QR$17,IF(#REF!=Data!$QK$9,Data!$QS$17,IF(#REF!=Data!$QK$10,Data!$QT$17,IF(#REF!=Data!$QK$11,Data!$QU$17))))))))))</f>
        <v>#REF!</v>
      </c>
      <c r="BD15" s="33" t="e">
        <f>IF(#REF!=Data!$PU$2,Data!$PW$1,IF(#REF!=Data!$PU$3,Data!$PW$1,IF(#REF!=Data!$PU$4,Data!$PV$1,IF(#REF!=Data!$PU$5,Data!$PV$1,))))</f>
        <v>#REF!</v>
      </c>
      <c r="BE15" s="33" t="e">
        <f>MATCH('Panel Glide Blinds'!D15,Data!$YK$2:$YK$15)</f>
        <v>#N/A</v>
      </c>
      <c r="BF15" s="33" t="e">
        <f>MATCH(O15,Data!$YL$1:$YM$1)</f>
        <v>#N/A</v>
      </c>
      <c r="BG15" s="33" t="e">
        <f>INDEX(Data!$YL$2:$YM$15,BE15,BF15)</f>
        <v>#N/A</v>
      </c>
      <c r="BH15" s="33" t="b">
        <f>IF(O15=Data!$ZF$1,Data!$ZD$1,IF(O15=Data!$ZF$2,Data!$ZE$1))</f>
        <v>0</v>
      </c>
      <c r="BI15" s="33" t="e">
        <f>VLOOKUP(H15,Data!$ZL$2:$ZM$8,2,FALSE)</f>
        <v>#N/A</v>
      </c>
      <c r="BJ15" s="92" t="e">
        <f>VLOOKUP(H15,Data!$ZW$2:$ZX$9,2,FALSE)</f>
        <v>#N/A</v>
      </c>
      <c r="BK15" s="92" t="e">
        <f>VLOOKUP(H15,Data!$ZW$2:$ZY$8,3,FALSE)</f>
        <v>#N/A</v>
      </c>
      <c r="BL15" s="92" t="str">
        <f t="shared" si="0"/>
        <v/>
      </c>
      <c r="BM15" s="92" t="str">
        <f t="shared" si="1"/>
        <v/>
      </c>
      <c r="BN15" s="92" t="str">
        <f t="shared" si="4"/>
        <v/>
      </c>
      <c r="BO15" s="33" t="e">
        <f t="shared" si="5"/>
        <v>#DIV/0!</v>
      </c>
      <c r="BP15" s="33" t="e">
        <f t="shared" si="6"/>
        <v>#DIV/0!</v>
      </c>
      <c r="BQ15" s="33" t="e">
        <f t="shared" si="7"/>
        <v>#DIV/0!</v>
      </c>
      <c r="BR15" s="33" t="str">
        <f t="shared" si="8"/>
        <v/>
      </c>
    </row>
    <row r="16" spans="1:70" ht="30" customHeight="1" thickTop="1" thickBot="1">
      <c r="A16" s="53">
        <v>9</v>
      </c>
      <c r="B16" s="17"/>
      <c r="C16" s="17"/>
      <c r="D16" s="13"/>
      <c r="E16" s="15"/>
      <c r="F16" s="14"/>
      <c r="G16" s="14"/>
      <c r="H16" s="14"/>
      <c r="I16" s="13"/>
      <c r="J16" s="14"/>
      <c r="K16" s="14"/>
      <c r="L16" s="484"/>
      <c r="M16" s="485"/>
      <c r="N16" s="15"/>
      <c r="O16" s="15"/>
      <c r="P16" s="15"/>
      <c r="Q16" s="13"/>
      <c r="R16" s="13"/>
      <c r="S16" s="13"/>
      <c r="T16" s="555"/>
      <c r="U16" s="556"/>
      <c r="V16" s="236"/>
      <c r="W16" s="237"/>
      <c r="X16" s="284" t="e">
        <f t="shared" si="2"/>
        <v>#N/A</v>
      </c>
      <c r="Y16" s="284" t="e">
        <f>VLOOKUP(Q16,Data!$QH$2:$QI$4,2,FALSE)</f>
        <v>#N/A</v>
      </c>
      <c r="AA16" s="284" t="e">
        <f t="shared" si="3"/>
        <v>#N/A</v>
      </c>
      <c r="AB16" s="92" t="str">
        <f>IF(COUNTIF(AB8:AB14,Data!KG7),Data!KH7,"")</f>
        <v/>
      </c>
      <c r="AD16" s="92" t="e">
        <f>IF(#REF!=Data!$KK$2,Data!$KM$1,IF(#REF!=Data!$KK$3,Data!$KN$1,IF(#REF!=Data!$KK$4,Data!$KP$1,IF(#REF!=Data!$KK$5,Data!$KQ$1))))</f>
        <v>#REF!</v>
      </c>
      <c r="AE16" s="33" t="str">
        <f>IF(D16=Data!$W$10,Data!$QJ$1,Data!$QK$1)</f>
        <v>RollerControl</v>
      </c>
      <c r="AH16" s="33" t="b">
        <f>IF(Q16=Data!$PX$2,Data!$PZ$1,IF(Q16=Data!$PX$3,Data!$PY$1,IF(Q16=Data!$PX$4,Data!$QA$1)))</f>
        <v>0</v>
      </c>
      <c r="AJ16" s="33" t="b">
        <f>IF(Q16=Data!$PX$3,Data!$QB$1,IF(Q16=Data!$PX$2,Data!$QC$1,IF(Q16=Data!$PX$4,Data!$QD$1)))</f>
        <v>0</v>
      </c>
      <c r="AL16" s="33" t="str">
        <f>IF(D16=Data!$W$3,Data!$QF$1,IF(D16=Data!$W$4,Data!$QF$1,IF(D16=Data!$W$5,Data!$QF$1,IF(D16=Data!$W$6,Data!$QF$1,IF(D16=Data!$W$7,Data!$QF$1,IF(D16=Data!$W$8,Data!$QF$1,IF(D16=Data!$W$9,Data!$QF$1,IF(D16=Data!$W$10,Data!$QE$1,IF(D16=Data!$W$11,Data!$QF$1,IF(D16=Data!$W$12,Data!$QF$1,IF(D16=Data!$W$13,Data!$QF$1,IF(D16=Data!$W$14,Data!$QF$1,IF(D16=Data!$W$15,Data!$QF$1,IF(D16=Data!$W$16,Data!$QF$1))))))))))))))</f>
        <v>RollerBracketType2</v>
      </c>
      <c r="AV16" s="40" t="e">
        <f>IF(AND(G16&lt;2130, OR(#REF!&lt;2100)),Data!$KS$1,Data!$KT$1)</f>
        <v>#REF!</v>
      </c>
      <c r="AW16" s="92" t="e">
        <f>MATCH(#REF!,Data!$LA$1:$LD$1,0)</f>
        <v>#REF!</v>
      </c>
      <c r="AX16" s="92" t="e">
        <f>MATCH('Panel Glide Blinds'!AV16,Data!$KZ$2:$KZ$3,0)</f>
        <v>#REF!</v>
      </c>
      <c r="AY16" s="92" t="e">
        <f>INDEX(Data!$LA$2:$LD$3,'Panel Glide Blinds'!AX16,'Panel Glide Blinds'!AW16)</f>
        <v>#REF!</v>
      </c>
      <c r="BB16" s="92" t="e">
        <f>IF(#REF!=Data!$QK$2,Data!$QL$1,IF(#REF!=Data!$QK$3,Data!$QM$1,IF(#REF!=Data!$QK$4,Data!$QN$1,IF(#REF!=Data!$QK$5,Data!$QO$1,IF(#REF!=Data!$QK$6,Data!$QP$1,IF(#REF!=Data!$QK$7,Data!$QQ$1,IF(#REF!=Data!$QK$8,Data!$QR$1,IF(#REF!=Data!$QK$9,Data!$QS$1,IF(#REF!=Data!$QK$10,Data!$QT$1,IF(#REF!=Data!$QK$11,Data!$QU$1))))))))))</f>
        <v>#REF!</v>
      </c>
      <c r="BC16" s="33" t="e">
        <f>IF(#REF!=Data!$QK$2,Data!$QL$17,IF(#REF!=Data!$QK$3,Data!$QM$17,IF(#REF!=Data!$QK$4,Data!$QN$17,IF(#REF!=Data!$QK$5,Data!$QO$17,IF(#REF!=Data!$QK$6,Data!$QP$17,IF(#REF!=Data!$QK$7,Data!$QQ$17,IF(#REF!=Data!$QK$8,Data!$QR$17,IF(#REF!=Data!$QK$9,Data!$QS$17,IF(#REF!=Data!$QK$10,Data!$QT$17,IF(#REF!=Data!$QK$11,Data!$QU$17))))))))))</f>
        <v>#REF!</v>
      </c>
      <c r="BD16" s="33" t="e">
        <f>IF(#REF!=Data!$PU$2,Data!$PW$1,IF(#REF!=Data!$PU$3,Data!$PW$1,IF(#REF!=Data!$PU$4,Data!$PV$1,IF(#REF!=Data!$PU$5,Data!$PV$1,))))</f>
        <v>#REF!</v>
      </c>
      <c r="BE16" s="33" t="e">
        <f>MATCH('Panel Glide Blinds'!D16,Data!$YK$2:$YK$15)</f>
        <v>#N/A</v>
      </c>
      <c r="BF16" s="33" t="e">
        <f>MATCH(O16,Data!$YL$1:$YM$1)</f>
        <v>#N/A</v>
      </c>
      <c r="BG16" s="33" t="e">
        <f>INDEX(Data!$YL$2:$YM$15,BE16,BF16)</f>
        <v>#N/A</v>
      </c>
      <c r="BH16" s="33" t="b">
        <f>IF(O16=Data!$ZF$1,Data!$ZD$1,IF(O16=Data!$ZF$2,Data!$ZE$1))</f>
        <v>0</v>
      </c>
      <c r="BI16" s="33" t="e">
        <f>VLOOKUP(H16,Data!$ZL$2:$ZM$8,2,FALSE)</f>
        <v>#N/A</v>
      </c>
      <c r="BJ16" s="92" t="e">
        <f>VLOOKUP(H16,Data!$ZW$2:$ZX$9,2,FALSE)</f>
        <v>#N/A</v>
      </c>
      <c r="BK16" s="92" t="e">
        <f>VLOOKUP(H16,Data!$ZW$2:$ZY$8,3,FALSE)</f>
        <v>#N/A</v>
      </c>
      <c r="BL16" s="92" t="str">
        <f t="shared" si="0"/>
        <v/>
      </c>
      <c r="BM16" s="92" t="str">
        <f t="shared" si="1"/>
        <v/>
      </c>
      <c r="BN16" s="92" t="str">
        <f t="shared" si="4"/>
        <v/>
      </c>
      <c r="BO16" s="33" t="e">
        <f t="shared" si="5"/>
        <v>#DIV/0!</v>
      </c>
      <c r="BP16" s="33" t="e">
        <f t="shared" si="6"/>
        <v>#DIV/0!</v>
      </c>
      <c r="BQ16" s="33" t="e">
        <f t="shared" si="7"/>
        <v>#DIV/0!</v>
      </c>
      <c r="BR16" s="33" t="str">
        <f t="shared" si="8"/>
        <v/>
      </c>
    </row>
    <row r="17" spans="1:70" ht="30" customHeight="1" thickTop="1" thickBot="1">
      <c r="A17" s="53">
        <v>10</v>
      </c>
      <c r="B17" s="17"/>
      <c r="C17" s="17"/>
      <c r="D17" s="19"/>
      <c r="E17" s="15"/>
      <c r="F17" s="14"/>
      <c r="G17" s="14"/>
      <c r="H17" s="14"/>
      <c r="I17" s="13"/>
      <c r="J17" s="14"/>
      <c r="K17" s="14"/>
      <c r="L17" s="484"/>
      <c r="M17" s="485"/>
      <c r="N17" s="15"/>
      <c r="O17" s="15"/>
      <c r="P17" s="15"/>
      <c r="Q17" s="13"/>
      <c r="R17" s="13"/>
      <c r="S17" s="13"/>
      <c r="T17" s="555"/>
      <c r="U17" s="556"/>
      <c r="V17" s="236"/>
      <c r="W17" s="237"/>
      <c r="X17" s="284" t="e">
        <f t="shared" si="2"/>
        <v>#N/A</v>
      </c>
      <c r="Y17" s="284" t="e">
        <f>VLOOKUP(Q17,Data!$QH$2:$QI$4,2,FALSE)</f>
        <v>#N/A</v>
      </c>
      <c r="AA17" s="284" t="e">
        <f t="shared" si="3"/>
        <v>#N/A</v>
      </c>
      <c r="AB17" s="92" t="str">
        <f>AB15&amp;" &amp; "&amp;AB16&amp;""</f>
        <v xml:space="preserve"> &amp; </v>
      </c>
      <c r="AD17" s="92" t="e">
        <f>IF(#REF!=Data!$KK$2,Data!$KM$1,IF(#REF!=Data!$KK$3,Data!$KN$1,IF(#REF!=Data!$KK$4,Data!$KP$1,IF(#REF!=Data!$KK$5,Data!$KQ$1))))</f>
        <v>#REF!</v>
      </c>
      <c r="AE17" s="33" t="str">
        <f>IF(D17=Data!$W$10,Data!$QJ$1,Data!$QK$1)</f>
        <v>RollerControl</v>
      </c>
      <c r="AH17" s="33" t="b">
        <f>IF(Q17=Data!$PX$2,Data!$PZ$1,IF(Q17=Data!$PX$3,Data!$PY$1,IF(Q17=Data!$PX$4,Data!$QA$1)))</f>
        <v>0</v>
      </c>
      <c r="AJ17" s="33" t="b">
        <f>IF(Q17=Data!$PX$3,Data!$QB$1,IF(Q17=Data!$PX$2,Data!$QC$1,IF(Q17=Data!$PX$4,Data!$QD$1)))</f>
        <v>0</v>
      </c>
      <c r="AL17" s="33" t="str">
        <f>IF(D17=Data!$W$3,Data!$QF$1,IF(D17=Data!$W$4,Data!$QF$1,IF(D17=Data!$W$5,Data!$QF$1,IF(D17=Data!$W$6,Data!$QF$1,IF(D17=Data!$W$7,Data!$QF$1,IF(D17=Data!$W$8,Data!$QF$1,IF(D17=Data!$W$9,Data!$QF$1,IF(D17=Data!$W$10,Data!$QE$1,IF(D17=Data!$W$11,Data!$QF$1,IF(D17=Data!$W$12,Data!$QF$1,IF(D17=Data!$W$13,Data!$QF$1,IF(D17=Data!$W$14,Data!$QF$1,IF(D17=Data!$W$15,Data!$QF$1,IF(D17=Data!$W$16,Data!$QF$1))))))))))))))</f>
        <v>RollerBracketType2</v>
      </c>
      <c r="AV17" s="40" t="e">
        <f>IF(AND(G17&lt;2130, OR(#REF!&lt;2100)),Data!$KS$1,Data!$KT$1)</f>
        <v>#REF!</v>
      </c>
      <c r="AW17" s="92" t="e">
        <f>MATCH(#REF!,Data!$LA$1:$LD$1,0)</f>
        <v>#REF!</v>
      </c>
      <c r="AX17" s="92" t="e">
        <f>MATCH('Panel Glide Blinds'!AV17,Data!$KZ$2:$KZ$3,0)</f>
        <v>#REF!</v>
      </c>
      <c r="AY17" s="92" t="e">
        <f>INDEX(Data!$LA$2:$LD$3,'Panel Glide Blinds'!AX17,'Panel Glide Blinds'!AW17)</f>
        <v>#REF!</v>
      </c>
      <c r="BB17" s="92" t="e">
        <f>IF(#REF!=Data!$QK$2,Data!$QL$1,IF(#REF!=Data!$QK$3,Data!$QM$1,IF(#REF!=Data!$QK$4,Data!$QN$1,IF(#REF!=Data!$QK$5,Data!$QO$1,IF(#REF!=Data!$QK$6,Data!$QP$1,IF(#REF!=Data!$QK$7,Data!$QQ$1,IF(#REF!=Data!$QK$8,Data!$QR$1,IF(#REF!=Data!$QK$9,Data!$QS$1,IF(#REF!=Data!$QK$10,Data!$QT$1,IF(#REF!=Data!$QK$11,Data!$QU$1))))))))))</f>
        <v>#REF!</v>
      </c>
      <c r="BC17" s="33" t="e">
        <f>IF(#REF!=Data!$QK$2,Data!$QL$17,IF(#REF!=Data!$QK$3,Data!$QM$17,IF(#REF!=Data!$QK$4,Data!$QN$17,IF(#REF!=Data!$QK$5,Data!$QO$17,IF(#REF!=Data!$QK$6,Data!$QP$17,IF(#REF!=Data!$QK$7,Data!$QQ$17,IF(#REF!=Data!$QK$8,Data!$QR$17,IF(#REF!=Data!$QK$9,Data!$QS$17,IF(#REF!=Data!$QK$10,Data!$QT$17,IF(#REF!=Data!$QK$11,Data!$QU$17))))))))))</f>
        <v>#REF!</v>
      </c>
      <c r="BD17" s="33" t="e">
        <f>IF(#REF!=Data!$PU$2,Data!$PW$1,IF(#REF!=Data!$PU$3,Data!$PW$1,IF(#REF!=Data!$PU$4,Data!$PV$1,IF(#REF!=Data!$PU$5,Data!$PV$1,))))</f>
        <v>#REF!</v>
      </c>
      <c r="BE17" s="33" t="e">
        <f>MATCH('Panel Glide Blinds'!D17,Data!$YK$2:$YK$15)</f>
        <v>#N/A</v>
      </c>
      <c r="BF17" s="33" t="e">
        <f>MATCH(O17,Data!$YL$1:$YM$1)</f>
        <v>#N/A</v>
      </c>
      <c r="BG17" s="33" t="e">
        <f>INDEX(Data!$YL$2:$YM$15,BE17,BF17)</f>
        <v>#N/A</v>
      </c>
      <c r="BH17" s="33" t="b">
        <f>IF(O17=Data!$ZF$1,Data!$ZD$1,IF(O17=Data!$ZF$2,Data!$ZE$1))</f>
        <v>0</v>
      </c>
      <c r="BI17" s="33" t="e">
        <f>VLOOKUP(H17,Data!$ZL$2:$ZM$8,2,FALSE)</f>
        <v>#N/A</v>
      </c>
      <c r="BJ17" s="92" t="e">
        <f>VLOOKUP(H17,Data!$ZW$2:$ZX$9,2,FALSE)</f>
        <v>#N/A</v>
      </c>
      <c r="BK17" s="92" t="e">
        <f>VLOOKUP(H17,Data!$ZW$2:$ZY$8,3,FALSE)</f>
        <v>#N/A</v>
      </c>
      <c r="BL17" s="92" t="str">
        <f t="shared" si="0"/>
        <v/>
      </c>
      <c r="BM17" s="92" t="str">
        <f t="shared" si="1"/>
        <v/>
      </c>
      <c r="BN17" s="92" t="str">
        <f t="shared" si="4"/>
        <v/>
      </c>
      <c r="BO17" s="33" t="e">
        <f t="shared" si="5"/>
        <v>#DIV/0!</v>
      </c>
      <c r="BP17" s="33" t="e">
        <f t="shared" si="6"/>
        <v>#DIV/0!</v>
      </c>
      <c r="BQ17" s="33" t="e">
        <f t="shared" si="7"/>
        <v>#DIV/0!</v>
      </c>
      <c r="BR17" s="33" t="str">
        <f t="shared" si="8"/>
        <v/>
      </c>
    </row>
    <row r="18" spans="1:70" ht="30" customHeight="1" thickTop="1" thickBot="1">
      <c r="A18" s="53">
        <v>11</v>
      </c>
      <c r="B18" s="17"/>
      <c r="C18" s="17"/>
      <c r="D18" s="13"/>
      <c r="E18" s="15"/>
      <c r="F18" s="14"/>
      <c r="G18" s="14"/>
      <c r="H18" s="14"/>
      <c r="I18" s="13"/>
      <c r="J18" s="14"/>
      <c r="K18" s="14"/>
      <c r="L18" s="484"/>
      <c r="M18" s="485"/>
      <c r="N18" s="15"/>
      <c r="O18" s="15"/>
      <c r="P18" s="15"/>
      <c r="Q18" s="13"/>
      <c r="R18" s="13"/>
      <c r="S18" s="13"/>
      <c r="T18" s="555"/>
      <c r="U18" s="556"/>
      <c r="V18" s="236"/>
      <c r="W18" s="237"/>
      <c r="X18" s="284" t="e">
        <f t="shared" si="2"/>
        <v>#N/A</v>
      </c>
      <c r="Y18" s="284" t="e">
        <f>VLOOKUP(Q18,Data!$QH$2:$QI$4,2,FALSE)</f>
        <v>#N/A</v>
      </c>
      <c r="AA18" s="284" t="e">
        <f t="shared" si="3"/>
        <v>#N/A</v>
      </c>
      <c r="AB18" s="92" t="str">
        <f>IF(AB17="Corner &amp; Bay","Corner &amp; Bay Window Diagram Must Be Supplied",IF(AB15="Corner","Corner Window Diagram Must Be Supplied",IF(AB16="Bay","Bay Window Diagram Must Be Supplied","")))</f>
        <v/>
      </c>
      <c r="AD18" s="92" t="e">
        <f>IF(#REF!=Data!$KK$2,Data!$KM$1,IF(#REF!=Data!$KK$3,Data!$KN$1,IF(#REF!=Data!$KK$4,Data!$KP$1,IF(#REF!=Data!$KK$5,Data!$KQ$1))))</f>
        <v>#REF!</v>
      </c>
      <c r="AE18" s="33" t="str">
        <f>IF(D18=Data!$W$10,Data!$QJ$1,Data!$QK$1)</f>
        <v>RollerControl</v>
      </c>
      <c r="AH18" s="33" t="b">
        <f>IF(Q18=Data!$PX$2,Data!$PZ$1,IF(Q18=Data!$PX$3,Data!$PY$1,IF(Q18=Data!$PX$4,Data!$QA$1)))</f>
        <v>0</v>
      </c>
      <c r="AJ18" s="33" t="b">
        <f>IF(Q18=Data!$PX$3,Data!$QB$1,IF(Q18=Data!$PX$2,Data!$QC$1,IF(Q18=Data!$PX$4,Data!$QD$1)))</f>
        <v>0</v>
      </c>
      <c r="AL18" s="33" t="str">
        <f>IF(D18=Data!$W$3,Data!$QF$1,IF(D18=Data!$W$4,Data!$QF$1,IF(D18=Data!$W$5,Data!$QF$1,IF(D18=Data!$W$6,Data!$QF$1,IF(D18=Data!$W$7,Data!$QF$1,IF(D18=Data!$W$8,Data!$QF$1,IF(D18=Data!$W$9,Data!$QF$1,IF(D18=Data!$W$10,Data!$QE$1,IF(D18=Data!$W$11,Data!$QF$1,IF(D18=Data!$W$12,Data!$QF$1,IF(D18=Data!$W$13,Data!$QF$1,IF(D18=Data!$W$14,Data!$QF$1,IF(D18=Data!$W$15,Data!$QF$1,IF(D18=Data!$W$16,Data!$QF$1))))))))))))))</f>
        <v>RollerBracketType2</v>
      </c>
      <c r="AV18" s="40" t="e">
        <f>IF(AND(G18&lt;2130, OR(#REF!&lt;2100)),Data!$KS$1,Data!$KT$1)</f>
        <v>#REF!</v>
      </c>
      <c r="AW18" s="92" t="e">
        <f>MATCH(#REF!,Data!$LA$1:$LD$1,0)</f>
        <v>#REF!</v>
      </c>
      <c r="AX18" s="92" t="e">
        <f>MATCH('Panel Glide Blinds'!AV18,Data!$KZ$2:$KZ$3,0)</f>
        <v>#REF!</v>
      </c>
      <c r="AY18" s="92" t="e">
        <f>INDEX(Data!$LA$2:$LD$3,'Panel Glide Blinds'!AX18,'Panel Glide Blinds'!AW18)</f>
        <v>#REF!</v>
      </c>
      <c r="BB18" s="92" t="e">
        <f>IF(#REF!=Data!$QK$2,Data!$QL$1,IF(#REF!=Data!$QK$3,Data!$QM$1,IF(#REF!=Data!$QK$4,Data!$QN$1,IF(#REF!=Data!$QK$5,Data!$QO$1,IF(#REF!=Data!$QK$6,Data!$QP$1,IF(#REF!=Data!$QK$7,Data!$QQ$1,IF(#REF!=Data!$QK$8,Data!$QR$1,IF(#REF!=Data!$QK$9,Data!$QS$1,IF(#REF!=Data!$QK$10,Data!$QT$1,IF(#REF!=Data!$QK$11,Data!$QU$1))))))))))</f>
        <v>#REF!</v>
      </c>
      <c r="BC18" s="33" t="e">
        <f>IF(#REF!=Data!$QK$2,Data!$QL$17,IF(#REF!=Data!$QK$3,Data!$QM$17,IF(#REF!=Data!$QK$4,Data!$QN$17,IF(#REF!=Data!$QK$5,Data!$QO$17,IF(#REF!=Data!$QK$6,Data!$QP$17,IF(#REF!=Data!$QK$7,Data!$QQ$17,IF(#REF!=Data!$QK$8,Data!$QR$17,IF(#REF!=Data!$QK$9,Data!$QS$17,IF(#REF!=Data!$QK$10,Data!$QT$17,IF(#REF!=Data!$QK$11,Data!$QU$17))))))))))</f>
        <v>#REF!</v>
      </c>
      <c r="BD18" s="33" t="e">
        <f>IF(#REF!=Data!$PU$2,Data!$PW$1,IF(#REF!=Data!$PU$3,Data!$PW$1,IF(#REF!=Data!$PU$4,Data!$PV$1,IF(#REF!=Data!$PU$5,Data!$PV$1,))))</f>
        <v>#REF!</v>
      </c>
      <c r="BE18" s="33" t="e">
        <f>MATCH('Panel Glide Blinds'!D18,Data!$YK$2:$YK$15)</f>
        <v>#N/A</v>
      </c>
      <c r="BF18" s="33" t="e">
        <f>MATCH(O18,Data!$YL$1:$YM$1)</f>
        <v>#N/A</v>
      </c>
      <c r="BG18" s="33" t="e">
        <f>INDEX(Data!$YL$2:$YM$15,BE18,BF18)</f>
        <v>#N/A</v>
      </c>
      <c r="BH18" s="33" t="b">
        <f>IF(O18=Data!$ZF$1,Data!$ZD$1,IF(O18=Data!$ZF$2,Data!$ZE$1))</f>
        <v>0</v>
      </c>
      <c r="BI18" s="33" t="e">
        <f>VLOOKUP(H18,Data!$ZL$2:$ZM$8,2,FALSE)</f>
        <v>#N/A</v>
      </c>
      <c r="BJ18" s="92" t="e">
        <f>VLOOKUP(H18,Data!$ZW$2:$ZX$9,2,FALSE)</f>
        <v>#N/A</v>
      </c>
      <c r="BK18" s="92" t="e">
        <f>VLOOKUP(H18,Data!$ZW$2:$ZY$8,3,FALSE)</f>
        <v>#N/A</v>
      </c>
      <c r="BL18" s="92" t="str">
        <f t="shared" si="0"/>
        <v/>
      </c>
      <c r="BM18" s="92" t="str">
        <f t="shared" si="1"/>
        <v/>
      </c>
      <c r="BN18" s="92" t="str">
        <f t="shared" si="4"/>
        <v/>
      </c>
      <c r="BO18" s="33" t="e">
        <f t="shared" si="5"/>
        <v>#DIV/0!</v>
      </c>
      <c r="BP18" s="33" t="e">
        <f t="shared" si="6"/>
        <v>#DIV/0!</v>
      </c>
      <c r="BQ18" s="33" t="e">
        <f t="shared" si="7"/>
        <v>#DIV/0!</v>
      </c>
      <c r="BR18" s="33" t="str">
        <f t="shared" si="8"/>
        <v/>
      </c>
    </row>
    <row r="19" spans="1:70" ht="30" customHeight="1" thickTop="1" thickBot="1">
      <c r="A19" s="53">
        <v>12</v>
      </c>
      <c r="B19" s="17"/>
      <c r="C19" s="17"/>
      <c r="D19" s="13"/>
      <c r="E19" s="15"/>
      <c r="F19" s="14"/>
      <c r="G19" s="14"/>
      <c r="H19" s="14"/>
      <c r="I19" s="13"/>
      <c r="J19" s="14"/>
      <c r="K19" s="14"/>
      <c r="L19" s="484"/>
      <c r="M19" s="485"/>
      <c r="N19" s="15"/>
      <c r="O19" s="15"/>
      <c r="P19" s="15"/>
      <c r="Q19" s="13"/>
      <c r="R19" s="13"/>
      <c r="S19" s="13"/>
      <c r="T19" s="555"/>
      <c r="U19" s="556"/>
      <c r="V19" s="236"/>
      <c r="W19" s="237"/>
      <c r="X19" s="284" t="e">
        <f t="shared" si="2"/>
        <v>#N/A</v>
      </c>
      <c r="Y19" s="284" t="e">
        <f>VLOOKUP(Q19,Data!$QH$2:$QI$4,2,FALSE)</f>
        <v>#N/A</v>
      </c>
      <c r="AA19" s="284" t="e">
        <f t="shared" si="3"/>
        <v>#N/A</v>
      </c>
      <c r="AD19" s="92" t="e">
        <f>IF(#REF!=Data!$KK$2,Data!$KM$1,IF(#REF!=Data!$KK$3,Data!$KN$1,IF(#REF!=Data!$KK$4,Data!$KP$1,IF(#REF!=Data!$KK$5,Data!$KQ$1))))</f>
        <v>#REF!</v>
      </c>
      <c r="AE19" s="33" t="str">
        <f>IF(D19=Data!$W$10,Data!$QJ$1,Data!$QK$1)</f>
        <v>RollerControl</v>
      </c>
      <c r="AH19" s="33" t="b">
        <f>IF(Q19=Data!$PX$2,Data!$PZ$1,IF(Q19=Data!$PX$3,Data!$PY$1,IF(Q19=Data!$PX$4,Data!$QA$1)))</f>
        <v>0</v>
      </c>
      <c r="AJ19" s="33" t="b">
        <f>IF(Q19=Data!$PX$3,Data!$QB$1,IF(Q19=Data!$PX$2,Data!$QC$1,IF(Q19=Data!$PX$4,Data!$QD$1)))</f>
        <v>0</v>
      </c>
      <c r="AL19" s="33" t="str">
        <f>IF(D19=Data!$W$3,Data!$QF$1,IF(D19=Data!$W$4,Data!$QF$1,IF(D19=Data!$W$5,Data!$QF$1,IF(D19=Data!$W$6,Data!$QF$1,IF(D19=Data!$W$7,Data!$QF$1,IF(D19=Data!$W$8,Data!$QF$1,IF(D19=Data!$W$9,Data!$QF$1,IF(D19=Data!$W$10,Data!$QE$1,IF(D19=Data!$W$11,Data!$QF$1,IF(D19=Data!$W$12,Data!$QF$1,IF(D19=Data!$W$13,Data!$QF$1,IF(D19=Data!$W$14,Data!$QF$1,IF(D19=Data!$W$15,Data!$QF$1,IF(D19=Data!$W$16,Data!$QF$1))))))))))))))</f>
        <v>RollerBracketType2</v>
      </c>
      <c r="AV19" s="40" t="e">
        <f>IF(AND(G19&lt;2130, OR(#REF!&lt;2100)),Data!$KS$1,Data!$KT$1)</f>
        <v>#REF!</v>
      </c>
      <c r="AW19" s="92" t="e">
        <f>MATCH(#REF!,Data!$LA$1:$LD$1,0)</f>
        <v>#REF!</v>
      </c>
      <c r="AX19" s="92" t="e">
        <f>MATCH('Panel Glide Blinds'!AV19,Data!$KZ$2:$KZ$3,0)</f>
        <v>#REF!</v>
      </c>
      <c r="AY19" s="92" t="e">
        <f>INDEX(Data!$LA$2:$LD$3,'Panel Glide Blinds'!AX19,'Panel Glide Blinds'!AW19)</f>
        <v>#REF!</v>
      </c>
      <c r="BB19" s="92" t="e">
        <f>IF(#REF!=Data!$QK$2,Data!$QL$1,IF(#REF!=Data!$QK$3,Data!$QM$1,IF(#REF!=Data!$QK$4,Data!$QN$1,IF(#REF!=Data!$QK$5,Data!$QO$1,IF(#REF!=Data!$QK$6,Data!$QP$1,IF(#REF!=Data!$QK$7,Data!$QQ$1,IF(#REF!=Data!$QK$8,Data!$QR$1,IF(#REF!=Data!$QK$9,Data!$QS$1,IF(#REF!=Data!$QK$10,Data!$QT$1,IF(#REF!=Data!$QK$11,Data!$QU$1))))))))))</f>
        <v>#REF!</v>
      </c>
      <c r="BC19" s="33" t="e">
        <f>IF(#REF!=Data!$QK$2,Data!$QL$17,IF(#REF!=Data!$QK$3,Data!$QM$17,IF(#REF!=Data!$QK$4,Data!$QN$17,IF(#REF!=Data!$QK$5,Data!$QO$17,IF(#REF!=Data!$QK$6,Data!$QP$17,IF(#REF!=Data!$QK$7,Data!$QQ$17,IF(#REF!=Data!$QK$8,Data!$QR$17,IF(#REF!=Data!$QK$9,Data!$QS$17,IF(#REF!=Data!$QK$10,Data!$QT$17,IF(#REF!=Data!$QK$11,Data!$QU$17))))))))))</f>
        <v>#REF!</v>
      </c>
      <c r="BD19" s="33" t="e">
        <f>IF(#REF!=Data!$PU$2,Data!$PW$1,IF(#REF!=Data!$PU$3,Data!$PW$1,IF(#REF!=Data!$PU$4,Data!$PV$1,IF(#REF!=Data!$PU$5,Data!$PV$1,))))</f>
        <v>#REF!</v>
      </c>
      <c r="BE19" s="33" t="e">
        <f>MATCH('Panel Glide Blinds'!D19,Data!$YK$2:$YK$15)</f>
        <v>#N/A</v>
      </c>
      <c r="BF19" s="33" t="e">
        <f>MATCH(O19,Data!$YL$1:$YM$1)</f>
        <v>#N/A</v>
      </c>
      <c r="BG19" s="33" t="e">
        <f>INDEX(Data!$YL$2:$YM$15,BE19,BF19)</f>
        <v>#N/A</v>
      </c>
      <c r="BH19" s="33" t="b">
        <f>IF(O19=Data!$ZF$1,Data!$ZD$1,IF(O19=Data!$ZF$2,Data!$ZE$1))</f>
        <v>0</v>
      </c>
      <c r="BI19" s="33" t="e">
        <f>VLOOKUP(H19,Data!$ZL$2:$ZM$8,2,FALSE)</f>
        <v>#N/A</v>
      </c>
      <c r="BJ19" s="92" t="e">
        <f>VLOOKUP(H19,Data!$ZW$2:$ZX$9,2,FALSE)</f>
        <v>#N/A</v>
      </c>
      <c r="BK19" s="92" t="e">
        <f>VLOOKUP(H19,Data!$ZW$2:$ZY$8,3,FALSE)</f>
        <v>#N/A</v>
      </c>
      <c r="BL19" s="92" t="str">
        <f t="shared" si="0"/>
        <v/>
      </c>
      <c r="BM19" s="92" t="str">
        <f t="shared" si="1"/>
        <v/>
      </c>
      <c r="BN19" s="92" t="str">
        <f t="shared" si="4"/>
        <v/>
      </c>
      <c r="BO19" s="33" t="e">
        <f t="shared" si="5"/>
        <v>#DIV/0!</v>
      </c>
      <c r="BP19" s="33" t="e">
        <f t="shared" si="6"/>
        <v>#DIV/0!</v>
      </c>
      <c r="BQ19" s="33" t="e">
        <f t="shared" si="7"/>
        <v>#DIV/0!</v>
      </c>
      <c r="BR19" s="33" t="str">
        <f t="shared" si="8"/>
        <v/>
      </c>
    </row>
    <row r="20" spans="1:70" ht="30" customHeight="1" thickTop="1" thickBot="1">
      <c r="A20" s="53">
        <v>13</v>
      </c>
      <c r="B20" s="17"/>
      <c r="C20" s="17"/>
      <c r="D20" s="13"/>
      <c r="E20" s="15"/>
      <c r="F20" s="14"/>
      <c r="G20" s="14"/>
      <c r="H20" s="14"/>
      <c r="I20" s="13"/>
      <c r="J20" s="14"/>
      <c r="K20" s="14"/>
      <c r="L20" s="484"/>
      <c r="M20" s="485"/>
      <c r="N20" s="15"/>
      <c r="O20" s="15"/>
      <c r="P20" s="15"/>
      <c r="Q20" s="13"/>
      <c r="R20" s="13"/>
      <c r="S20" s="13"/>
      <c r="T20" s="555"/>
      <c r="U20" s="556"/>
      <c r="V20" s="236"/>
      <c r="W20" s="237"/>
      <c r="X20" s="284" t="e">
        <f t="shared" si="2"/>
        <v>#N/A</v>
      </c>
      <c r="Y20" s="284" t="e">
        <f>VLOOKUP(Q20,Data!$QH$2:$QI$4,2,FALSE)</f>
        <v>#N/A</v>
      </c>
      <c r="AA20" s="284" t="e">
        <f t="shared" si="3"/>
        <v>#N/A</v>
      </c>
      <c r="AD20" s="92" t="e">
        <f>IF(#REF!=Data!$KK$2,Data!$KM$1,IF(#REF!=Data!$KK$3,Data!$KN$1,IF(#REF!=Data!$KK$4,Data!$KP$1,IF(#REF!=Data!$KK$5,Data!$KQ$1))))</f>
        <v>#REF!</v>
      </c>
      <c r="AE20" s="33" t="str">
        <f>IF(D20=Data!$W$10,Data!$QJ$1,Data!$QK$1)</f>
        <v>RollerControl</v>
      </c>
      <c r="AH20" s="33" t="b">
        <f>IF(Q20=Data!$PX$2,Data!$PZ$1,IF(Q20=Data!$PX$3,Data!$PY$1,IF(Q20=Data!$PX$4,Data!$QA$1)))</f>
        <v>0</v>
      </c>
      <c r="AJ20" s="33" t="b">
        <f>IF(Q20=Data!$PX$3,Data!$QB$1,IF(Q20=Data!$PX$2,Data!$QC$1,IF(Q20=Data!$PX$4,Data!$QD$1)))</f>
        <v>0</v>
      </c>
      <c r="AL20" s="33" t="str">
        <f>IF(D20=Data!$W$3,Data!$QF$1,IF(D20=Data!$W$4,Data!$QF$1,IF(D20=Data!$W$5,Data!$QF$1,IF(D20=Data!$W$6,Data!$QF$1,IF(D20=Data!$W$7,Data!$QF$1,IF(D20=Data!$W$8,Data!$QF$1,IF(D20=Data!$W$9,Data!$QF$1,IF(D20=Data!$W$10,Data!$QE$1,IF(D20=Data!$W$11,Data!$QF$1,IF(D20=Data!$W$12,Data!$QF$1,IF(D20=Data!$W$13,Data!$QF$1,IF(D20=Data!$W$14,Data!$QF$1,IF(D20=Data!$W$15,Data!$QF$1,IF(D20=Data!$W$16,Data!$QF$1))))))))))))))</f>
        <v>RollerBracketType2</v>
      </c>
      <c r="AV20" s="40" t="e">
        <f>IF(AND(G20&lt;2130, OR(#REF!&lt;2100)),Data!$KS$1,Data!$KT$1)</f>
        <v>#REF!</v>
      </c>
      <c r="AW20" s="92" t="e">
        <f>MATCH(#REF!,Data!$LA$1:$LD$1,0)</f>
        <v>#REF!</v>
      </c>
      <c r="AX20" s="92" t="e">
        <f>MATCH('Panel Glide Blinds'!AV20,Data!$KZ$2:$KZ$3,0)</f>
        <v>#REF!</v>
      </c>
      <c r="AY20" s="92" t="e">
        <f>INDEX(Data!$LA$2:$LD$3,'Panel Glide Blinds'!AX20,'Panel Glide Blinds'!AW20)</f>
        <v>#REF!</v>
      </c>
      <c r="BB20" s="92" t="e">
        <f>IF(#REF!=Data!$QK$2,Data!$QL$1,IF(#REF!=Data!$QK$3,Data!$QM$1,IF(#REF!=Data!$QK$4,Data!$QN$1,IF(#REF!=Data!$QK$5,Data!$QO$1,IF(#REF!=Data!$QK$6,Data!$QP$1,IF(#REF!=Data!$QK$7,Data!$QQ$1,IF(#REF!=Data!$QK$8,Data!$QR$1,IF(#REF!=Data!$QK$9,Data!$QS$1,IF(#REF!=Data!$QK$10,Data!$QT$1,IF(#REF!=Data!$QK$11,Data!$QU$1))))))))))</f>
        <v>#REF!</v>
      </c>
      <c r="BC20" s="33" t="e">
        <f>IF(#REF!=Data!$QK$2,Data!$QL$17,IF(#REF!=Data!$QK$3,Data!$QM$17,IF(#REF!=Data!$QK$4,Data!$QN$17,IF(#REF!=Data!$QK$5,Data!$QO$17,IF(#REF!=Data!$QK$6,Data!$QP$17,IF(#REF!=Data!$QK$7,Data!$QQ$17,IF(#REF!=Data!$QK$8,Data!$QR$17,IF(#REF!=Data!$QK$9,Data!$QS$17,IF(#REF!=Data!$QK$10,Data!$QT$17,IF(#REF!=Data!$QK$11,Data!$QU$17))))))))))</f>
        <v>#REF!</v>
      </c>
      <c r="BD20" s="33" t="e">
        <f>IF(#REF!=Data!$PU$2,Data!$PW$1,IF(#REF!=Data!$PU$3,Data!$PW$1,IF(#REF!=Data!$PU$4,Data!$PV$1,IF(#REF!=Data!$PU$5,Data!$PV$1,))))</f>
        <v>#REF!</v>
      </c>
      <c r="BE20" s="33" t="e">
        <f>MATCH('Panel Glide Blinds'!D20,Data!$YK$2:$YK$15)</f>
        <v>#N/A</v>
      </c>
      <c r="BF20" s="33" t="e">
        <f>MATCH(O20,Data!$YL$1:$YM$1)</f>
        <v>#N/A</v>
      </c>
      <c r="BG20" s="33" t="e">
        <f>INDEX(Data!$YL$2:$YM$15,BE20,BF20)</f>
        <v>#N/A</v>
      </c>
      <c r="BH20" s="33" t="b">
        <f>IF(O20=Data!$ZF$1,Data!$ZD$1,IF(O20=Data!$ZF$2,Data!$ZE$1))</f>
        <v>0</v>
      </c>
      <c r="BI20" s="33" t="e">
        <f>VLOOKUP(H20,Data!$ZL$2:$ZM$8,2,FALSE)</f>
        <v>#N/A</v>
      </c>
      <c r="BJ20" s="92" t="e">
        <f>VLOOKUP(H20,Data!$ZW$2:$ZX$9,2,FALSE)</f>
        <v>#N/A</v>
      </c>
      <c r="BK20" s="92" t="e">
        <f>VLOOKUP(H20,Data!$ZW$2:$ZY$8,3,FALSE)</f>
        <v>#N/A</v>
      </c>
      <c r="BL20" s="92" t="str">
        <f t="shared" si="0"/>
        <v/>
      </c>
      <c r="BM20" s="92" t="str">
        <f t="shared" si="1"/>
        <v/>
      </c>
      <c r="BN20" s="92" t="str">
        <f t="shared" si="4"/>
        <v/>
      </c>
      <c r="BO20" s="33" t="e">
        <f t="shared" si="5"/>
        <v>#DIV/0!</v>
      </c>
      <c r="BP20" s="33" t="e">
        <f t="shared" si="6"/>
        <v>#DIV/0!</v>
      </c>
      <c r="BQ20" s="33" t="e">
        <f t="shared" si="7"/>
        <v>#DIV/0!</v>
      </c>
      <c r="BR20" s="33" t="str">
        <f t="shared" si="8"/>
        <v/>
      </c>
    </row>
    <row r="21" spans="1:70" ht="30" customHeight="1" thickTop="1" thickBot="1">
      <c r="A21" s="53">
        <v>14</v>
      </c>
      <c r="B21" s="17"/>
      <c r="C21" s="17"/>
      <c r="D21" s="13"/>
      <c r="E21" s="15"/>
      <c r="F21" s="14"/>
      <c r="G21" s="14"/>
      <c r="H21" s="14"/>
      <c r="I21" s="13"/>
      <c r="J21" s="14"/>
      <c r="K21" s="14"/>
      <c r="L21" s="484"/>
      <c r="M21" s="485"/>
      <c r="N21" s="15"/>
      <c r="O21" s="15"/>
      <c r="P21" s="15"/>
      <c r="Q21" s="13"/>
      <c r="R21" s="13"/>
      <c r="S21" s="13"/>
      <c r="T21" s="555"/>
      <c r="U21" s="556"/>
      <c r="V21" s="236"/>
      <c r="W21" s="237"/>
      <c r="X21" s="284" t="e">
        <f t="shared" si="2"/>
        <v>#N/A</v>
      </c>
      <c r="Y21" s="284" t="e">
        <f>VLOOKUP(Q21,Data!$QH$2:$QI$4,2,FALSE)</f>
        <v>#N/A</v>
      </c>
      <c r="AA21" s="284" t="e">
        <f t="shared" si="3"/>
        <v>#N/A</v>
      </c>
      <c r="AD21" s="92" t="e">
        <f>IF(#REF!=Data!$KK$2,Data!$KM$1,IF(#REF!=Data!$KK$3,Data!$KN$1,IF(#REF!=Data!$KK$4,Data!$KP$1,IF(#REF!=Data!$KK$5,Data!$KQ$1))))</f>
        <v>#REF!</v>
      </c>
      <c r="AE21" s="33" t="str">
        <f>IF(D21=Data!$W$10,Data!$QJ$1,Data!$QK$1)</f>
        <v>RollerControl</v>
      </c>
      <c r="AH21" s="33" t="b">
        <f>IF(Q21=Data!$PX$2,Data!$PZ$1,IF(Q21=Data!$PX$3,Data!$PY$1,IF(Q21=Data!$PX$4,Data!$QA$1)))</f>
        <v>0</v>
      </c>
      <c r="AJ21" s="33" t="b">
        <f>IF(Q21=Data!$PX$3,Data!$QB$1,IF(Q21=Data!$PX$2,Data!$QC$1,IF(Q21=Data!$PX$4,Data!$QD$1)))</f>
        <v>0</v>
      </c>
      <c r="AL21" s="33" t="str">
        <f>IF(D21=Data!$W$3,Data!$QF$1,IF(D21=Data!$W$4,Data!$QF$1,IF(D21=Data!$W$5,Data!$QF$1,IF(D21=Data!$W$6,Data!$QF$1,IF(D21=Data!$W$7,Data!$QF$1,IF(D21=Data!$W$8,Data!$QF$1,IF(D21=Data!$W$9,Data!$QF$1,IF(D21=Data!$W$10,Data!$QE$1,IF(D21=Data!$W$11,Data!$QF$1,IF(D21=Data!$W$12,Data!$QF$1,IF(D21=Data!$W$13,Data!$QF$1,IF(D21=Data!$W$14,Data!$QF$1,IF(D21=Data!$W$15,Data!$QF$1,IF(D21=Data!$W$16,Data!$QF$1))))))))))))))</f>
        <v>RollerBracketType2</v>
      </c>
      <c r="AV21" s="40" t="e">
        <f>IF(AND(G21&lt;2130, OR(#REF!&lt;2100)),Data!$KS$1,Data!$KT$1)</f>
        <v>#REF!</v>
      </c>
      <c r="AW21" s="92" t="e">
        <f>MATCH(#REF!,Data!$LA$1:$LD$1,0)</f>
        <v>#REF!</v>
      </c>
      <c r="AX21" s="92" t="e">
        <f>MATCH('Panel Glide Blinds'!AV21,Data!$KZ$2:$KZ$3,0)</f>
        <v>#REF!</v>
      </c>
      <c r="AY21" s="92" t="e">
        <f>INDEX(Data!$LA$2:$LD$3,'Panel Glide Blinds'!AX21,'Panel Glide Blinds'!AW21)</f>
        <v>#REF!</v>
      </c>
      <c r="BB21" s="92" t="e">
        <f>IF(#REF!=Data!$QK$2,Data!$QL$1,IF(#REF!=Data!$QK$3,Data!$QM$1,IF(#REF!=Data!$QK$4,Data!$QN$1,IF(#REF!=Data!$QK$5,Data!$QO$1,IF(#REF!=Data!$QK$6,Data!$QP$1,IF(#REF!=Data!$QK$7,Data!$QQ$1,IF(#REF!=Data!$QK$8,Data!$QR$1,IF(#REF!=Data!$QK$9,Data!$QS$1,IF(#REF!=Data!$QK$10,Data!$QT$1,IF(#REF!=Data!$QK$11,Data!$QU$1))))))))))</f>
        <v>#REF!</v>
      </c>
      <c r="BC21" s="33" t="e">
        <f>IF(#REF!=Data!$QK$2,Data!$QL$17,IF(#REF!=Data!$QK$3,Data!$QM$17,IF(#REF!=Data!$QK$4,Data!$QN$17,IF(#REF!=Data!$QK$5,Data!$QO$17,IF(#REF!=Data!$QK$6,Data!$QP$17,IF(#REF!=Data!$QK$7,Data!$QQ$17,IF(#REF!=Data!$QK$8,Data!$QR$17,IF(#REF!=Data!$QK$9,Data!$QS$17,IF(#REF!=Data!$QK$10,Data!$QT$17,IF(#REF!=Data!$QK$11,Data!$QU$17))))))))))</f>
        <v>#REF!</v>
      </c>
      <c r="BD21" s="33" t="e">
        <f>IF(#REF!=Data!$PU$2,Data!$PW$1,IF(#REF!=Data!$PU$3,Data!$PW$1,IF(#REF!=Data!$PU$4,Data!$PV$1,IF(#REF!=Data!$PU$5,Data!$PV$1,))))</f>
        <v>#REF!</v>
      </c>
      <c r="BE21" s="33" t="e">
        <f>MATCH('Panel Glide Blinds'!D21,Data!$YK$2:$YK$15)</f>
        <v>#N/A</v>
      </c>
      <c r="BF21" s="33" t="e">
        <f>MATCH(O21,Data!$YL$1:$YM$1)</f>
        <v>#N/A</v>
      </c>
      <c r="BG21" s="33" t="e">
        <f>INDEX(Data!$YL$2:$YM$15,BE21,BF21)</f>
        <v>#N/A</v>
      </c>
      <c r="BH21" s="33" t="b">
        <f>IF(O21=Data!$ZF$1,Data!$ZD$1,IF(O21=Data!$ZF$2,Data!$ZE$1))</f>
        <v>0</v>
      </c>
      <c r="BI21" s="33" t="e">
        <f>VLOOKUP(H21,Data!$ZL$2:$ZM$8,2,FALSE)</f>
        <v>#N/A</v>
      </c>
      <c r="BJ21" s="92" t="e">
        <f>VLOOKUP(H21,Data!$ZW$2:$ZX$9,2,FALSE)</f>
        <v>#N/A</v>
      </c>
      <c r="BK21" s="92" t="e">
        <f>VLOOKUP(H21,Data!$ZW$2:$ZY$8,3,FALSE)</f>
        <v>#N/A</v>
      </c>
      <c r="BL21" s="92" t="str">
        <f t="shared" si="0"/>
        <v/>
      </c>
      <c r="BM21" s="92" t="str">
        <f t="shared" si="1"/>
        <v/>
      </c>
      <c r="BN21" s="92" t="str">
        <f t="shared" si="4"/>
        <v/>
      </c>
      <c r="BO21" s="33" t="e">
        <f t="shared" si="5"/>
        <v>#DIV/0!</v>
      </c>
      <c r="BP21" s="33" t="e">
        <f t="shared" si="6"/>
        <v>#DIV/0!</v>
      </c>
      <c r="BQ21" s="33" t="e">
        <f t="shared" si="7"/>
        <v>#DIV/0!</v>
      </c>
      <c r="BR21" s="33" t="str">
        <f t="shared" si="8"/>
        <v/>
      </c>
    </row>
    <row r="22" spans="1:70" ht="30" customHeight="1" thickTop="1" thickBot="1">
      <c r="A22" s="53">
        <v>15</v>
      </c>
      <c r="B22" s="17"/>
      <c r="C22" s="17"/>
      <c r="D22" s="13"/>
      <c r="E22" s="15"/>
      <c r="F22" s="14"/>
      <c r="G22" s="14"/>
      <c r="H22" s="14"/>
      <c r="I22" s="13"/>
      <c r="J22" s="14"/>
      <c r="K22" s="14"/>
      <c r="L22" s="484"/>
      <c r="M22" s="485"/>
      <c r="N22" s="15"/>
      <c r="O22" s="15"/>
      <c r="P22" s="15"/>
      <c r="Q22" s="13"/>
      <c r="R22" s="13"/>
      <c r="S22" s="13"/>
      <c r="T22" s="555"/>
      <c r="U22" s="556"/>
      <c r="V22" s="236"/>
      <c r="W22" s="237"/>
      <c r="X22" s="284" t="e">
        <f t="shared" si="2"/>
        <v>#N/A</v>
      </c>
      <c r="Y22" s="284" t="e">
        <f>VLOOKUP(Q22,Data!$QH$2:$QI$4,2,FALSE)</f>
        <v>#N/A</v>
      </c>
      <c r="AA22" s="284" t="e">
        <f t="shared" si="3"/>
        <v>#N/A</v>
      </c>
      <c r="AD22" s="92" t="e">
        <f>IF(#REF!=Data!$KK$2,Data!$KM$1,IF(#REF!=Data!$KK$3,Data!$KN$1,IF(#REF!=Data!$KK$4,Data!$KP$1,IF(#REF!=Data!$KK$5,Data!$KQ$1))))</f>
        <v>#REF!</v>
      </c>
      <c r="AE22" s="33" t="str">
        <f>IF(D22=Data!$W$10,Data!$QJ$1,Data!$QK$1)</f>
        <v>RollerControl</v>
      </c>
      <c r="AH22" s="33" t="b">
        <f>IF(Q22=Data!$PX$2,Data!$PZ$1,IF(Q22=Data!$PX$3,Data!$PY$1,IF(Q22=Data!$PX$4,Data!$QA$1)))</f>
        <v>0</v>
      </c>
      <c r="AJ22" s="33" t="b">
        <f>IF(Q22=Data!$PX$3,Data!$QB$1,IF(Q22=Data!$PX$2,Data!$QC$1,IF(Q22=Data!$PX$4,Data!$QD$1)))</f>
        <v>0</v>
      </c>
      <c r="AL22" s="33" t="str">
        <f>IF(D22=Data!$W$3,Data!$QF$1,IF(D22=Data!$W$4,Data!$QF$1,IF(D22=Data!$W$5,Data!$QF$1,IF(D22=Data!$W$6,Data!$QF$1,IF(D22=Data!$W$7,Data!$QF$1,IF(D22=Data!$W$8,Data!$QF$1,IF(D22=Data!$W$9,Data!$QF$1,IF(D22=Data!$W$10,Data!$QE$1,IF(D22=Data!$W$11,Data!$QF$1,IF(D22=Data!$W$12,Data!$QF$1,IF(D22=Data!$W$13,Data!$QF$1,IF(D22=Data!$W$14,Data!$QF$1,IF(D22=Data!$W$15,Data!$QF$1,IF(D22=Data!$W$16,Data!$QF$1))))))))))))))</f>
        <v>RollerBracketType2</v>
      </c>
      <c r="AV22" s="40" t="e">
        <f>IF(AND(G22&lt;2130, OR(#REF!&lt;2100)),Data!$KS$1,Data!$KT$1)</f>
        <v>#REF!</v>
      </c>
      <c r="AW22" s="92" t="e">
        <f>MATCH(#REF!,Data!$LA$1:$LD$1,0)</f>
        <v>#REF!</v>
      </c>
      <c r="AX22" s="92" t="e">
        <f>MATCH('Panel Glide Blinds'!AV22,Data!$KZ$2:$KZ$3,0)</f>
        <v>#REF!</v>
      </c>
      <c r="AY22" s="92" t="e">
        <f>INDEX(Data!$LA$2:$LD$3,'Panel Glide Blinds'!AX22,'Panel Glide Blinds'!AW22)</f>
        <v>#REF!</v>
      </c>
      <c r="BB22" s="92" t="e">
        <f>IF(#REF!=Data!$QK$2,Data!$QL$1,IF(#REF!=Data!$QK$3,Data!$QM$1,IF(#REF!=Data!$QK$4,Data!$QN$1,IF(#REF!=Data!$QK$5,Data!$QO$1,IF(#REF!=Data!$QK$6,Data!$QP$1,IF(#REF!=Data!$QK$7,Data!$QQ$1,IF(#REF!=Data!$QK$8,Data!$QR$1,IF(#REF!=Data!$QK$9,Data!$QS$1,IF(#REF!=Data!$QK$10,Data!$QT$1,IF(#REF!=Data!$QK$11,Data!$QU$1))))))))))</f>
        <v>#REF!</v>
      </c>
      <c r="BC22" s="33" t="e">
        <f>IF(#REF!=Data!$QK$2,Data!$QL$17,IF(#REF!=Data!$QK$3,Data!$QM$17,IF(#REF!=Data!$QK$4,Data!$QN$17,IF(#REF!=Data!$QK$5,Data!$QO$17,IF(#REF!=Data!$QK$6,Data!$QP$17,IF(#REF!=Data!$QK$7,Data!$QQ$17,IF(#REF!=Data!$QK$8,Data!$QR$17,IF(#REF!=Data!$QK$9,Data!$QS$17,IF(#REF!=Data!$QK$10,Data!$QT$17,IF(#REF!=Data!$QK$11,Data!$QU$17))))))))))</f>
        <v>#REF!</v>
      </c>
      <c r="BD22" s="33" t="e">
        <f>IF(#REF!=Data!$PU$2,Data!$PW$1,IF(#REF!=Data!$PU$3,Data!$PW$1,IF(#REF!=Data!$PU$4,Data!$PV$1,IF(#REF!=Data!$PU$5,Data!$PV$1,))))</f>
        <v>#REF!</v>
      </c>
      <c r="BE22" s="33" t="e">
        <f>MATCH('Panel Glide Blinds'!D22,Data!$YK$2:$YK$15)</f>
        <v>#N/A</v>
      </c>
      <c r="BF22" s="33" t="e">
        <f>MATCH(O22,Data!$YL$1:$YM$1)</f>
        <v>#N/A</v>
      </c>
      <c r="BG22" s="33" t="e">
        <f>INDEX(Data!$YL$2:$YM$15,BE22,BF22)</f>
        <v>#N/A</v>
      </c>
      <c r="BH22" s="33" t="b">
        <f>IF(O22=Data!$ZF$1,Data!$ZD$1,IF(O22=Data!$ZF$2,Data!$ZE$1))</f>
        <v>0</v>
      </c>
      <c r="BI22" s="33" t="e">
        <f>VLOOKUP(H22,Data!$ZL$2:$ZM$8,2,FALSE)</f>
        <v>#N/A</v>
      </c>
      <c r="BJ22" s="92" t="e">
        <f>VLOOKUP(H22,Data!$ZW$2:$ZX$9,2,FALSE)</f>
        <v>#N/A</v>
      </c>
      <c r="BK22" s="92" t="e">
        <f>VLOOKUP(H22,Data!$ZW$2:$ZY$8,3,FALSE)</f>
        <v>#N/A</v>
      </c>
      <c r="BL22" s="92" t="str">
        <f t="shared" si="0"/>
        <v/>
      </c>
      <c r="BM22" s="92" t="str">
        <f t="shared" si="1"/>
        <v/>
      </c>
      <c r="BN22" s="92" t="str">
        <f t="shared" si="4"/>
        <v/>
      </c>
      <c r="BO22" s="33" t="e">
        <f t="shared" si="5"/>
        <v>#DIV/0!</v>
      </c>
      <c r="BP22" s="33" t="e">
        <f t="shared" si="6"/>
        <v>#DIV/0!</v>
      </c>
      <c r="BQ22" s="33" t="e">
        <f t="shared" si="7"/>
        <v>#DIV/0!</v>
      </c>
      <c r="BR22" s="33" t="str">
        <f t="shared" si="8"/>
        <v/>
      </c>
    </row>
    <row r="23" spans="1:70" ht="30" customHeight="1" thickTop="1" thickBot="1">
      <c r="A23" s="53">
        <v>16</v>
      </c>
      <c r="B23" s="17"/>
      <c r="C23" s="17"/>
      <c r="D23" s="13"/>
      <c r="E23" s="15"/>
      <c r="F23" s="14"/>
      <c r="G23" s="14"/>
      <c r="H23" s="14"/>
      <c r="I23" s="13"/>
      <c r="J23" s="14"/>
      <c r="K23" s="14"/>
      <c r="L23" s="484"/>
      <c r="M23" s="485"/>
      <c r="N23" s="15"/>
      <c r="O23" s="15"/>
      <c r="P23" s="15"/>
      <c r="Q23" s="13"/>
      <c r="R23" s="13"/>
      <c r="S23" s="13"/>
      <c r="T23" s="555"/>
      <c r="U23" s="556"/>
      <c r="V23" s="236"/>
      <c r="W23" s="237"/>
      <c r="X23" s="284" t="e">
        <f t="shared" si="2"/>
        <v>#N/A</v>
      </c>
      <c r="Y23" s="284" t="e">
        <f>VLOOKUP(Q23,Data!$QH$2:$QI$4,2,FALSE)</f>
        <v>#N/A</v>
      </c>
      <c r="AA23" s="284" t="e">
        <f t="shared" si="3"/>
        <v>#N/A</v>
      </c>
      <c r="AD23" s="92" t="e">
        <f>IF(#REF!=Data!$KK$2,Data!$KM$1,IF(#REF!=Data!$KK$3,Data!$KN$1,IF(#REF!=Data!$KK$4,Data!$KP$1,IF(#REF!=Data!$KK$5,Data!$KQ$1))))</f>
        <v>#REF!</v>
      </c>
      <c r="AE23" s="33" t="str">
        <f>IF(D23=Data!$W$10,Data!$QJ$1,Data!$QK$1)</f>
        <v>RollerControl</v>
      </c>
      <c r="AH23" s="33" t="b">
        <f>IF(Q23=Data!$PX$2,Data!$PZ$1,IF(Q23=Data!$PX$3,Data!$PY$1,IF(Q23=Data!$PX$4,Data!$QA$1)))</f>
        <v>0</v>
      </c>
      <c r="AJ23" s="33" t="b">
        <f>IF(Q23=Data!$PX$3,Data!$QB$1,IF(Q23=Data!$PX$2,Data!$QC$1,IF(Q23=Data!$PX$4,Data!$QD$1)))</f>
        <v>0</v>
      </c>
      <c r="AL23" s="33" t="str">
        <f>IF(D23=Data!$W$3,Data!$QF$1,IF(D23=Data!$W$4,Data!$QF$1,IF(D23=Data!$W$5,Data!$QF$1,IF(D23=Data!$W$6,Data!$QF$1,IF(D23=Data!$W$7,Data!$QF$1,IF(D23=Data!$W$8,Data!$QF$1,IF(D23=Data!$W$9,Data!$QF$1,IF(D23=Data!$W$10,Data!$QE$1,IF(D23=Data!$W$11,Data!$QF$1,IF(D23=Data!$W$12,Data!$QF$1,IF(D23=Data!$W$13,Data!$QF$1,IF(D23=Data!$W$14,Data!$QF$1,IF(D23=Data!$W$15,Data!$QF$1,IF(D23=Data!$W$16,Data!$QF$1))))))))))))))</f>
        <v>RollerBracketType2</v>
      </c>
      <c r="AV23" s="40" t="e">
        <f>IF(AND(G23&lt;2130, OR(#REF!&lt;2100)),Data!$KS$1,Data!$KT$1)</f>
        <v>#REF!</v>
      </c>
      <c r="AW23" s="92" t="e">
        <f>MATCH(#REF!,Data!$LA$1:$LD$1,0)</f>
        <v>#REF!</v>
      </c>
      <c r="AX23" s="92" t="e">
        <f>MATCH('Panel Glide Blinds'!AV23,Data!$KZ$2:$KZ$3,0)</f>
        <v>#REF!</v>
      </c>
      <c r="AY23" s="92" t="e">
        <f>INDEX(Data!$LA$2:$LD$3,'Panel Glide Blinds'!AX23,'Panel Glide Blinds'!AW23)</f>
        <v>#REF!</v>
      </c>
      <c r="BB23" s="92" t="e">
        <f>IF(#REF!=Data!$QK$2,Data!$QL$1,IF(#REF!=Data!$QK$3,Data!$QM$1,IF(#REF!=Data!$QK$4,Data!$QN$1,IF(#REF!=Data!$QK$5,Data!$QO$1,IF(#REF!=Data!$QK$6,Data!$QP$1,IF(#REF!=Data!$QK$7,Data!$QQ$1,IF(#REF!=Data!$QK$8,Data!$QR$1,IF(#REF!=Data!$QK$9,Data!$QS$1,IF(#REF!=Data!$QK$10,Data!$QT$1,IF(#REF!=Data!$QK$11,Data!$QU$1))))))))))</f>
        <v>#REF!</v>
      </c>
      <c r="BC23" s="33" t="e">
        <f>IF(#REF!=Data!$QK$2,Data!$QL$17,IF(#REF!=Data!$QK$3,Data!$QM$17,IF(#REF!=Data!$QK$4,Data!$QN$17,IF(#REF!=Data!$QK$5,Data!$QO$17,IF(#REF!=Data!$QK$6,Data!$QP$17,IF(#REF!=Data!$QK$7,Data!$QQ$17,IF(#REF!=Data!$QK$8,Data!$QR$17,IF(#REF!=Data!$QK$9,Data!$QS$17,IF(#REF!=Data!$QK$10,Data!$QT$17,IF(#REF!=Data!$QK$11,Data!$QU$17))))))))))</f>
        <v>#REF!</v>
      </c>
      <c r="BD23" s="33" t="e">
        <f>IF(#REF!=Data!$PU$2,Data!$PW$1,IF(#REF!=Data!$PU$3,Data!$PW$1,IF(#REF!=Data!$PU$4,Data!$PV$1,IF(#REF!=Data!$PU$5,Data!$PV$1,))))</f>
        <v>#REF!</v>
      </c>
      <c r="BE23" s="33" t="e">
        <f>MATCH('Panel Glide Blinds'!D23,Data!$YK$2:$YK$15)</f>
        <v>#N/A</v>
      </c>
      <c r="BF23" s="33" t="e">
        <f>MATCH(O23,Data!$YL$1:$YM$1)</f>
        <v>#N/A</v>
      </c>
      <c r="BG23" s="33" t="e">
        <f>INDEX(Data!$YL$2:$YM$15,BE23,BF23)</f>
        <v>#N/A</v>
      </c>
      <c r="BH23" s="33" t="b">
        <f>IF(O23=Data!$ZF$1,Data!$ZD$1,IF(O23=Data!$ZF$2,Data!$ZE$1))</f>
        <v>0</v>
      </c>
      <c r="BI23" s="33" t="e">
        <f>VLOOKUP(H23,Data!$ZL$2:$ZM$8,2,FALSE)</f>
        <v>#N/A</v>
      </c>
      <c r="BJ23" s="92" t="e">
        <f>VLOOKUP(H23,Data!$ZW$2:$ZX$9,2,FALSE)</f>
        <v>#N/A</v>
      </c>
      <c r="BK23" s="92" t="e">
        <f>VLOOKUP(H23,Data!$ZW$2:$ZY$8,3,FALSE)</f>
        <v>#N/A</v>
      </c>
      <c r="BL23" s="92" t="str">
        <f t="shared" si="0"/>
        <v/>
      </c>
      <c r="BM23" s="92" t="str">
        <f t="shared" si="1"/>
        <v/>
      </c>
      <c r="BN23" s="92" t="str">
        <f t="shared" si="4"/>
        <v/>
      </c>
      <c r="BO23" s="33" t="e">
        <f t="shared" si="5"/>
        <v>#DIV/0!</v>
      </c>
      <c r="BP23" s="33" t="e">
        <f t="shared" si="6"/>
        <v>#DIV/0!</v>
      </c>
      <c r="BQ23" s="33" t="e">
        <f t="shared" si="7"/>
        <v>#DIV/0!</v>
      </c>
      <c r="BR23" s="33" t="str">
        <f t="shared" si="8"/>
        <v/>
      </c>
    </row>
    <row r="24" spans="1:70" ht="30" customHeight="1" thickTop="1" thickBot="1">
      <c r="A24" s="53">
        <v>17</v>
      </c>
      <c r="B24" s="17"/>
      <c r="C24" s="17"/>
      <c r="D24" s="19"/>
      <c r="E24" s="15"/>
      <c r="F24" s="14"/>
      <c r="G24" s="14"/>
      <c r="H24" s="14"/>
      <c r="I24" s="13"/>
      <c r="J24" s="14"/>
      <c r="K24" s="14"/>
      <c r="L24" s="484"/>
      <c r="M24" s="485"/>
      <c r="N24" s="15"/>
      <c r="O24" s="15"/>
      <c r="P24" s="15"/>
      <c r="Q24" s="13"/>
      <c r="R24" s="13"/>
      <c r="S24" s="13"/>
      <c r="T24" s="555"/>
      <c r="U24" s="556"/>
      <c r="V24" s="236"/>
      <c r="W24" s="237"/>
      <c r="X24" s="284" t="e">
        <f t="shared" si="2"/>
        <v>#N/A</v>
      </c>
      <c r="Y24" s="284" t="e">
        <f>VLOOKUP(Q24,Data!$QH$2:$QI$4,2,FALSE)</f>
        <v>#N/A</v>
      </c>
      <c r="AA24" s="284" t="e">
        <f t="shared" si="3"/>
        <v>#N/A</v>
      </c>
      <c r="AD24" s="92" t="e">
        <f>IF(#REF!=Data!$KK$2,Data!$KM$1,IF(#REF!=Data!$KK$3,Data!$KN$1,IF(#REF!=Data!$KK$4,Data!$KP$1,IF(#REF!=Data!$KK$5,Data!$KQ$1))))</f>
        <v>#REF!</v>
      </c>
      <c r="AE24" s="33" t="str">
        <f>IF(D24=Data!$W$10,Data!$QJ$1,Data!$QK$1)</f>
        <v>RollerControl</v>
      </c>
      <c r="AH24" s="33" t="b">
        <f>IF(Q24=Data!$PX$2,Data!$PZ$1,IF(Q24=Data!$PX$3,Data!$PY$1,IF(Q24=Data!$PX$4,Data!$QA$1)))</f>
        <v>0</v>
      </c>
      <c r="AJ24" s="33" t="b">
        <f>IF(Q24=Data!$PX$3,Data!$QB$1,IF(Q24=Data!$PX$2,Data!$QC$1,IF(Q24=Data!$PX$4,Data!$QD$1)))</f>
        <v>0</v>
      </c>
      <c r="AL24" s="33" t="str">
        <f>IF(D24=Data!$W$3,Data!$QF$1,IF(D24=Data!$W$4,Data!$QF$1,IF(D24=Data!$W$5,Data!$QF$1,IF(D24=Data!$W$6,Data!$QF$1,IF(D24=Data!$W$7,Data!$QF$1,IF(D24=Data!$W$8,Data!$QF$1,IF(D24=Data!$W$9,Data!$QF$1,IF(D24=Data!$W$10,Data!$QE$1,IF(D24=Data!$W$11,Data!$QF$1,IF(D24=Data!$W$12,Data!$QF$1,IF(D24=Data!$W$13,Data!$QF$1,IF(D24=Data!$W$14,Data!$QF$1,IF(D24=Data!$W$15,Data!$QF$1,IF(D24=Data!$W$16,Data!$QF$1))))))))))))))</f>
        <v>RollerBracketType2</v>
      </c>
      <c r="AV24" s="40" t="e">
        <f>IF(AND(G24&lt;2130, OR(#REF!&lt;2100)),Data!$KS$1,Data!$KT$1)</f>
        <v>#REF!</v>
      </c>
      <c r="AW24" s="92" t="e">
        <f>MATCH(#REF!,Data!$LA$1:$LD$1,0)</f>
        <v>#REF!</v>
      </c>
      <c r="AX24" s="92" t="e">
        <f>MATCH('Panel Glide Blinds'!AV24,Data!$KZ$2:$KZ$3,0)</f>
        <v>#REF!</v>
      </c>
      <c r="AY24" s="92" t="e">
        <f>INDEX(Data!$LA$2:$LD$3,'Panel Glide Blinds'!AX24,'Panel Glide Blinds'!AW24)</f>
        <v>#REF!</v>
      </c>
      <c r="BB24" s="92" t="e">
        <f>IF(#REF!=Data!$QK$2,Data!$QL$1,IF(#REF!=Data!$QK$3,Data!$QM$1,IF(#REF!=Data!$QK$4,Data!$QN$1,IF(#REF!=Data!$QK$5,Data!$QO$1,IF(#REF!=Data!$QK$6,Data!$QP$1,IF(#REF!=Data!$QK$7,Data!$QQ$1,IF(#REF!=Data!$QK$8,Data!$QR$1,IF(#REF!=Data!$QK$9,Data!$QS$1,IF(#REF!=Data!$QK$10,Data!$QT$1,IF(#REF!=Data!$QK$11,Data!$QU$1))))))))))</f>
        <v>#REF!</v>
      </c>
      <c r="BC24" s="33" t="e">
        <f>IF(#REF!=Data!$QK$2,Data!$QL$17,IF(#REF!=Data!$QK$3,Data!$QM$17,IF(#REF!=Data!$QK$4,Data!$QN$17,IF(#REF!=Data!$QK$5,Data!$QO$17,IF(#REF!=Data!$QK$6,Data!$QP$17,IF(#REF!=Data!$QK$7,Data!$QQ$17,IF(#REF!=Data!$QK$8,Data!$QR$17,IF(#REF!=Data!$QK$9,Data!$QS$17,IF(#REF!=Data!$QK$10,Data!$QT$17,IF(#REF!=Data!$QK$11,Data!$QU$17))))))))))</f>
        <v>#REF!</v>
      </c>
      <c r="BD24" s="33" t="e">
        <f>IF(#REF!=Data!$PU$2,Data!$PW$1,IF(#REF!=Data!$PU$3,Data!$PW$1,IF(#REF!=Data!$PU$4,Data!$PV$1,IF(#REF!=Data!$PU$5,Data!$PV$1,))))</f>
        <v>#REF!</v>
      </c>
      <c r="BE24" s="33" t="e">
        <f>MATCH('Panel Glide Blinds'!D24,Data!$YK$2:$YK$15)</f>
        <v>#N/A</v>
      </c>
      <c r="BF24" s="33" t="e">
        <f>MATCH(O24,Data!$YL$1:$YM$1)</f>
        <v>#N/A</v>
      </c>
      <c r="BG24" s="33" t="e">
        <f>INDEX(Data!$YL$2:$YM$15,BE24,BF24)</f>
        <v>#N/A</v>
      </c>
      <c r="BH24" s="33" t="b">
        <f>IF(O24=Data!$ZF$1,Data!$ZD$1,IF(O24=Data!$ZF$2,Data!$ZE$1))</f>
        <v>0</v>
      </c>
      <c r="BI24" s="33" t="e">
        <f>VLOOKUP(H24,Data!$ZL$2:$ZM$8,2,FALSE)</f>
        <v>#N/A</v>
      </c>
      <c r="BJ24" s="92" t="e">
        <f>VLOOKUP(H24,Data!$ZW$2:$ZX$9,2,FALSE)</f>
        <v>#N/A</v>
      </c>
      <c r="BK24" s="92" t="e">
        <f>VLOOKUP(H24,Data!$ZW$2:$ZY$8,3,FALSE)</f>
        <v>#N/A</v>
      </c>
      <c r="BL24" s="92" t="str">
        <f t="shared" si="0"/>
        <v/>
      </c>
      <c r="BM24" s="92" t="str">
        <f t="shared" si="1"/>
        <v/>
      </c>
      <c r="BN24" s="92" t="str">
        <f t="shared" si="4"/>
        <v/>
      </c>
      <c r="BO24" s="33" t="e">
        <f t="shared" si="5"/>
        <v>#DIV/0!</v>
      </c>
      <c r="BP24" s="33" t="e">
        <f t="shared" si="6"/>
        <v>#DIV/0!</v>
      </c>
      <c r="BQ24" s="33" t="e">
        <f t="shared" si="7"/>
        <v>#DIV/0!</v>
      </c>
      <c r="BR24" s="33" t="str">
        <f t="shared" si="8"/>
        <v/>
      </c>
    </row>
    <row r="25" spans="1:70" ht="30" customHeight="1" thickTop="1" thickBot="1">
      <c r="A25" s="53">
        <v>18</v>
      </c>
      <c r="B25" s="17"/>
      <c r="C25" s="17"/>
      <c r="D25" s="19"/>
      <c r="E25" s="15"/>
      <c r="F25" s="14"/>
      <c r="G25" s="14"/>
      <c r="H25" s="14"/>
      <c r="I25" s="13"/>
      <c r="J25" s="14"/>
      <c r="K25" s="14"/>
      <c r="L25" s="484"/>
      <c r="M25" s="485"/>
      <c r="N25" s="15"/>
      <c r="O25" s="15"/>
      <c r="P25" s="15"/>
      <c r="Q25" s="13"/>
      <c r="R25" s="13"/>
      <c r="S25" s="13"/>
      <c r="T25" s="555"/>
      <c r="U25" s="556"/>
      <c r="V25" s="236"/>
      <c r="W25" s="237"/>
      <c r="X25" s="284" t="e">
        <f t="shared" si="2"/>
        <v>#N/A</v>
      </c>
      <c r="Y25" s="284" t="e">
        <f>VLOOKUP(Q25,Data!$QH$2:$QI$4,2,FALSE)</f>
        <v>#N/A</v>
      </c>
      <c r="AA25" s="284" t="e">
        <f t="shared" si="3"/>
        <v>#N/A</v>
      </c>
      <c r="AD25" s="92" t="e">
        <f>IF(#REF!=Data!$KK$2,Data!$KM$1,IF(#REF!=Data!$KK$3,Data!$KN$1,IF(#REF!=Data!$KK$4,Data!$KP$1,IF(#REF!=Data!$KK$5,Data!$KQ$1))))</f>
        <v>#REF!</v>
      </c>
      <c r="AE25" s="33" t="str">
        <f>IF(D25=Data!$W$10,Data!$QJ$1,Data!$QK$1)</f>
        <v>RollerControl</v>
      </c>
      <c r="AH25" s="33" t="b">
        <f>IF(Q25=Data!$PX$2,Data!$PZ$1,IF(Q25=Data!$PX$3,Data!$PY$1,IF(Q25=Data!$PX$4,Data!$QA$1)))</f>
        <v>0</v>
      </c>
      <c r="AJ25" s="33" t="b">
        <f>IF(Q25=Data!$PX$3,Data!$QB$1,IF(Q25=Data!$PX$2,Data!$QC$1,IF(Q25=Data!$PX$4,Data!$QD$1)))</f>
        <v>0</v>
      </c>
      <c r="AL25" s="33" t="str">
        <f>IF(D25=Data!$W$3,Data!$QF$1,IF(D25=Data!$W$4,Data!$QF$1,IF(D25=Data!$W$5,Data!$QF$1,IF(D25=Data!$W$6,Data!$QF$1,IF(D25=Data!$W$7,Data!$QF$1,IF(D25=Data!$W$8,Data!$QF$1,IF(D25=Data!$W$9,Data!$QF$1,IF(D25=Data!$W$10,Data!$QE$1,IF(D25=Data!$W$11,Data!$QF$1,IF(D25=Data!$W$12,Data!$QF$1,IF(D25=Data!$W$13,Data!$QF$1,IF(D25=Data!$W$14,Data!$QF$1,IF(D25=Data!$W$15,Data!$QF$1,IF(D25=Data!$W$16,Data!$QF$1))))))))))))))</f>
        <v>RollerBracketType2</v>
      </c>
      <c r="AV25" s="40" t="e">
        <f>IF(AND(G25&lt;2130, OR(#REF!&lt;2100)),Data!$KS$1,Data!$KT$1)</f>
        <v>#REF!</v>
      </c>
      <c r="AW25" s="92" t="e">
        <f>MATCH(#REF!,Data!$LA$1:$LD$1,0)</f>
        <v>#REF!</v>
      </c>
      <c r="AX25" s="92" t="e">
        <f>MATCH('Panel Glide Blinds'!AV25,Data!$KZ$2:$KZ$3,0)</f>
        <v>#REF!</v>
      </c>
      <c r="AY25" s="92" t="e">
        <f>INDEX(Data!$LA$2:$LD$3,'Panel Glide Blinds'!AX25,'Panel Glide Blinds'!AW25)</f>
        <v>#REF!</v>
      </c>
      <c r="BB25" s="92" t="e">
        <f>IF(#REF!=Data!$QK$2,Data!$QL$1,IF(#REF!=Data!$QK$3,Data!$QM$1,IF(#REF!=Data!$QK$4,Data!$QN$1,IF(#REF!=Data!$QK$5,Data!$QO$1,IF(#REF!=Data!$QK$6,Data!$QP$1,IF(#REF!=Data!$QK$7,Data!$QQ$1,IF(#REF!=Data!$QK$8,Data!$QR$1,IF(#REF!=Data!$QK$9,Data!$QS$1,IF(#REF!=Data!$QK$10,Data!$QT$1,IF(#REF!=Data!$QK$11,Data!$QU$1))))))))))</f>
        <v>#REF!</v>
      </c>
      <c r="BC25" s="33" t="e">
        <f>IF(#REF!=Data!$QK$2,Data!$QL$17,IF(#REF!=Data!$QK$3,Data!$QM$17,IF(#REF!=Data!$QK$4,Data!$QN$17,IF(#REF!=Data!$QK$5,Data!$QO$17,IF(#REF!=Data!$QK$6,Data!$QP$17,IF(#REF!=Data!$QK$7,Data!$QQ$17,IF(#REF!=Data!$QK$8,Data!$QR$17,IF(#REF!=Data!$QK$9,Data!$QS$17,IF(#REF!=Data!$QK$10,Data!$QT$17,IF(#REF!=Data!$QK$11,Data!$QU$17))))))))))</f>
        <v>#REF!</v>
      </c>
      <c r="BD25" s="33" t="e">
        <f>IF(#REF!=Data!$PU$2,Data!$PW$1,IF(#REF!=Data!$PU$3,Data!$PW$1,IF(#REF!=Data!$PU$4,Data!$PV$1,IF(#REF!=Data!$PU$5,Data!$PV$1,))))</f>
        <v>#REF!</v>
      </c>
      <c r="BE25" s="33" t="e">
        <f>MATCH('Panel Glide Blinds'!D25,Data!$YK$2:$YK$15)</f>
        <v>#N/A</v>
      </c>
      <c r="BF25" s="33" t="e">
        <f>MATCH(O25,Data!$YL$1:$YM$1)</f>
        <v>#N/A</v>
      </c>
      <c r="BG25" s="33" t="e">
        <f>INDEX(Data!$YL$2:$YM$15,BE25,BF25)</f>
        <v>#N/A</v>
      </c>
      <c r="BH25" s="33" t="b">
        <f>IF(O25=Data!$ZF$1,Data!$ZD$1,IF(O25=Data!$ZF$2,Data!$ZE$1))</f>
        <v>0</v>
      </c>
      <c r="BI25" s="33" t="e">
        <f>VLOOKUP(H25,Data!$ZL$2:$ZM$8,2,FALSE)</f>
        <v>#N/A</v>
      </c>
      <c r="BJ25" s="92" t="e">
        <f>VLOOKUP(H25,Data!$ZW$2:$ZX$9,2,FALSE)</f>
        <v>#N/A</v>
      </c>
      <c r="BK25" s="92" t="e">
        <f>VLOOKUP(H25,Data!$ZW$2:$ZY$8,3,FALSE)</f>
        <v>#N/A</v>
      </c>
      <c r="BL25" s="92" t="str">
        <f t="shared" si="0"/>
        <v/>
      </c>
      <c r="BM25" s="92" t="str">
        <f t="shared" si="1"/>
        <v/>
      </c>
      <c r="BN25" s="92" t="str">
        <f t="shared" si="4"/>
        <v/>
      </c>
      <c r="BO25" s="33" t="e">
        <f t="shared" si="5"/>
        <v>#DIV/0!</v>
      </c>
      <c r="BP25" s="33" t="e">
        <f t="shared" si="6"/>
        <v>#DIV/0!</v>
      </c>
      <c r="BQ25" s="33" t="e">
        <f t="shared" si="7"/>
        <v>#DIV/0!</v>
      </c>
      <c r="BR25" s="33" t="str">
        <f t="shared" si="8"/>
        <v/>
      </c>
    </row>
    <row r="26" spans="1:70" ht="30" customHeight="1" thickTop="1" thickBot="1">
      <c r="A26" s="53">
        <v>19</v>
      </c>
      <c r="B26" s="17"/>
      <c r="C26" s="17"/>
      <c r="D26" s="19"/>
      <c r="E26" s="15"/>
      <c r="F26" s="14"/>
      <c r="G26" s="14"/>
      <c r="H26" s="14"/>
      <c r="I26" s="13"/>
      <c r="J26" s="14"/>
      <c r="K26" s="14"/>
      <c r="L26" s="484"/>
      <c r="M26" s="485"/>
      <c r="N26" s="15"/>
      <c r="O26" s="15"/>
      <c r="P26" s="15"/>
      <c r="Q26" s="13"/>
      <c r="R26" s="13"/>
      <c r="S26" s="13"/>
      <c r="T26" s="555"/>
      <c r="U26" s="556"/>
      <c r="V26" s="236"/>
      <c r="W26" s="237"/>
      <c r="X26" s="284" t="e">
        <f t="shared" si="2"/>
        <v>#N/A</v>
      </c>
      <c r="Y26" s="284" t="e">
        <f>VLOOKUP(Q26,Data!$QH$2:$QI$4,2,FALSE)</f>
        <v>#N/A</v>
      </c>
      <c r="AA26" s="284" t="e">
        <f t="shared" si="3"/>
        <v>#N/A</v>
      </c>
      <c r="AD26" s="92" t="e">
        <f>IF(#REF!=Data!$KK$2,Data!$KM$1,IF(#REF!=Data!$KK$3,Data!$KN$1,IF(#REF!=Data!$KK$4,Data!$KP$1,IF(#REF!=Data!$KK$5,Data!$KQ$1))))</f>
        <v>#REF!</v>
      </c>
      <c r="AE26" s="33" t="str">
        <f>IF(D26=Data!$W$10,Data!$QJ$1,Data!$QK$1)</f>
        <v>RollerControl</v>
      </c>
      <c r="AH26" s="33" t="b">
        <f>IF(Q26=Data!$PX$2,Data!$PZ$1,IF(Q26=Data!$PX$3,Data!$PY$1,IF(Q26=Data!$PX$4,Data!$QA$1)))</f>
        <v>0</v>
      </c>
      <c r="AJ26" s="33" t="b">
        <f>IF(Q26=Data!$PX$3,Data!$QB$1,IF(Q26=Data!$PX$2,Data!$QC$1,IF(Q26=Data!$PX$4,Data!$QD$1)))</f>
        <v>0</v>
      </c>
      <c r="AL26" s="33" t="str">
        <f>IF(D26=Data!$W$3,Data!$QF$1,IF(D26=Data!$W$4,Data!$QF$1,IF(D26=Data!$W$5,Data!$QF$1,IF(D26=Data!$W$6,Data!$QF$1,IF(D26=Data!$W$7,Data!$QF$1,IF(D26=Data!$W$8,Data!$QF$1,IF(D26=Data!$W$9,Data!$QF$1,IF(D26=Data!$W$10,Data!$QE$1,IF(D26=Data!$W$11,Data!$QF$1,IF(D26=Data!$W$12,Data!$QF$1,IF(D26=Data!$W$13,Data!$QF$1,IF(D26=Data!$W$14,Data!$QF$1,IF(D26=Data!$W$15,Data!$QF$1,IF(D26=Data!$W$16,Data!$QF$1))))))))))))))</f>
        <v>RollerBracketType2</v>
      </c>
      <c r="AV26" s="40" t="e">
        <f>IF(AND(G26&lt;2130, OR(#REF!&lt;2100)),Data!$KS$1,Data!$KT$1)</f>
        <v>#REF!</v>
      </c>
      <c r="AW26" s="92" t="e">
        <f>MATCH(#REF!,Data!$LA$1:$LD$1,0)</f>
        <v>#REF!</v>
      </c>
      <c r="AX26" s="92" t="e">
        <f>MATCH('Panel Glide Blinds'!AV26,Data!$KZ$2:$KZ$3,0)</f>
        <v>#REF!</v>
      </c>
      <c r="AY26" s="92" t="e">
        <f>INDEX(Data!$LA$2:$LD$3,'Panel Glide Blinds'!AX26,'Panel Glide Blinds'!AW26)</f>
        <v>#REF!</v>
      </c>
      <c r="BB26" s="92" t="e">
        <f>IF(#REF!=Data!$QK$2,Data!$QL$1,IF(#REF!=Data!$QK$3,Data!$QM$1,IF(#REF!=Data!$QK$4,Data!$QN$1,IF(#REF!=Data!$QK$5,Data!$QO$1,IF(#REF!=Data!$QK$6,Data!$QP$1,IF(#REF!=Data!$QK$7,Data!$QQ$1,IF(#REF!=Data!$QK$8,Data!$QR$1,IF(#REF!=Data!$QK$9,Data!$QS$1,IF(#REF!=Data!$QK$10,Data!$QT$1,IF(#REF!=Data!$QK$11,Data!$QU$1))))))))))</f>
        <v>#REF!</v>
      </c>
      <c r="BC26" s="33" t="e">
        <f>IF(#REF!=Data!$QK$2,Data!$QL$17,IF(#REF!=Data!$QK$3,Data!$QM$17,IF(#REF!=Data!$QK$4,Data!$QN$17,IF(#REF!=Data!$QK$5,Data!$QO$17,IF(#REF!=Data!$QK$6,Data!$QP$17,IF(#REF!=Data!$QK$7,Data!$QQ$17,IF(#REF!=Data!$QK$8,Data!$QR$17,IF(#REF!=Data!$QK$9,Data!$QS$17,IF(#REF!=Data!$QK$10,Data!$QT$17,IF(#REF!=Data!$QK$11,Data!$QU$17))))))))))</f>
        <v>#REF!</v>
      </c>
      <c r="BD26" s="33" t="e">
        <f>IF(#REF!=Data!$PU$2,Data!$PW$1,IF(#REF!=Data!$PU$3,Data!$PW$1,IF(#REF!=Data!$PU$4,Data!$PV$1,IF(#REF!=Data!$PU$5,Data!$PV$1,))))</f>
        <v>#REF!</v>
      </c>
      <c r="BE26" s="33" t="e">
        <f>MATCH('Panel Glide Blinds'!D26,Data!$YK$2:$YK$15)</f>
        <v>#N/A</v>
      </c>
      <c r="BF26" s="33" t="e">
        <f>MATCH(O26,Data!$YL$1:$YM$1)</f>
        <v>#N/A</v>
      </c>
      <c r="BG26" s="33" t="e">
        <f>INDEX(Data!$YL$2:$YM$15,BE26,BF26)</f>
        <v>#N/A</v>
      </c>
      <c r="BH26" s="33" t="b">
        <f>IF(O26=Data!$ZF$1,Data!$ZD$1,IF(O26=Data!$ZF$2,Data!$ZE$1))</f>
        <v>0</v>
      </c>
      <c r="BI26" s="33" t="e">
        <f>VLOOKUP(H26,Data!$ZL$2:$ZM$8,2,FALSE)</f>
        <v>#N/A</v>
      </c>
      <c r="BJ26" s="92" t="e">
        <f>VLOOKUP(H26,Data!$ZW$2:$ZX$9,2,FALSE)</f>
        <v>#N/A</v>
      </c>
      <c r="BK26" s="92" t="e">
        <f>VLOOKUP(H26,Data!$ZW$2:$ZY$8,3,FALSE)</f>
        <v>#N/A</v>
      </c>
      <c r="BL26" s="92" t="str">
        <f t="shared" si="0"/>
        <v/>
      </c>
      <c r="BM26" s="92" t="str">
        <f t="shared" si="1"/>
        <v/>
      </c>
      <c r="BN26" s="92" t="str">
        <f t="shared" si="4"/>
        <v/>
      </c>
      <c r="BO26" s="33" t="e">
        <f t="shared" si="5"/>
        <v>#DIV/0!</v>
      </c>
      <c r="BP26" s="33" t="e">
        <f t="shared" si="6"/>
        <v>#DIV/0!</v>
      </c>
      <c r="BQ26" s="33" t="e">
        <f t="shared" si="7"/>
        <v>#DIV/0!</v>
      </c>
      <c r="BR26" s="33" t="str">
        <f t="shared" si="8"/>
        <v/>
      </c>
    </row>
    <row r="27" spans="1:70" ht="30" customHeight="1" thickTop="1" thickBot="1">
      <c r="A27" s="53">
        <v>20</v>
      </c>
      <c r="B27" s="13"/>
      <c r="C27" s="13"/>
      <c r="D27" s="13"/>
      <c r="E27" s="15"/>
      <c r="F27" s="14"/>
      <c r="G27" s="14"/>
      <c r="H27" s="14"/>
      <c r="I27" s="13"/>
      <c r="J27" s="14"/>
      <c r="K27" s="14"/>
      <c r="L27" s="484"/>
      <c r="M27" s="485"/>
      <c r="N27" s="15"/>
      <c r="O27" s="15"/>
      <c r="P27" s="15"/>
      <c r="Q27" s="13"/>
      <c r="R27" s="13"/>
      <c r="S27" s="13"/>
      <c r="T27" s="555"/>
      <c r="U27" s="556"/>
      <c r="V27" s="236"/>
      <c r="W27" s="237"/>
      <c r="X27" s="284" t="e">
        <f t="shared" si="2"/>
        <v>#N/A</v>
      </c>
      <c r="Y27" s="284" t="e">
        <f>VLOOKUP(Q27,Data!$QH$2:$QI$4,2,FALSE)</f>
        <v>#N/A</v>
      </c>
      <c r="AA27" s="284" t="e">
        <f t="shared" si="3"/>
        <v>#N/A</v>
      </c>
      <c r="AD27" s="92" t="e">
        <f>IF(#REF!=Data!$KK$2,Data!$KM$1,IF(#REF!=Data!$KK$3,Data!$KN$1,IF(#REF!=Data!$KK$4,Data!$KP$1,IF(#REF!=Data!$KK$5,Data!$KQ$1))))</f>
        <v>#REF!</v>
      </c>
      <c r="AE27" s="33" t="str">
        <f>IF(D27=Data!$W$10,Data!$QJ$1,Data!$QK$1)</f>
        <v>RollerControl</v>
      </c>
      <c r="AH27" s="33" t="b">
        <f>IF(Q27=Data!$PX$2,Data!$PZ$1,IF(Q27=Data!$PX$3,Data!$PY$1,IF(Q27=Data!$PX$4,Data!$QA$1)))</f>
        <v>0</v>
      </c>
      <c r="AJ27" s="33" t="b">
        <f>IF(Q27=Data!$PX$3,Data!$QB$1,IF(Q27=Data!$PX$2,Data!$QC$1,IF(Q27=Data!$PX$4,Data!$QD$1)))</f>
        <v>0</v>
      </c>
      <c r="AL27" s="33" t="str">
        <f>IF(D27=Data!$W$3,Data!$QF$1,IF(D27=Data!$W$4,Data!$QF$1,IF(D27=Data!$W$5,Data!$QF$1,IF(D27=Data!$W$6,Data!$QF$1,IF(D27=Data!$W$7,Data!$QF$1,IF(D27=Data!$W$8,Data!$QF$1,IF(D27=Data!$W$9,Data!$QF$1,IF(D27=Data!$W$10,Data!$QE$1,IF(D27=Data!$W$11,Data!$QF$1,IF(D27=Data!$W$12,Data!$QF$1,IF(D27=Data!$W$13,Data!$QF$1,IF(D27=Data!$W$14,Data!$QF$1,IF(D27=Data!$W$15,Data!$QF$1,IF(D27=Data!$W$16,Data!$QF$1))))))))))))))</f>
        <v>RollerBracketType2</v>
      </c>
      <c r="AV27" s="40" t="e">
        <f>IF(AND(G27&lt;2130, OR(#REF!&lt;2100)),Data!$KS$1,Data!$KT$1)</f>
        <v>#REF!</v>
      </c>
      <c r="AW27" s="92" t="e">
        <f>MATCH(#REF!,Data!$LA$1:$LD$1,0)</f>
        <v>#REF!</v>
      </c>
      <c r="AX27" s="92" t="e">
        <f>MATCH('Panel Glide Blinds'!AV27,Data!$KZ$2:$KZ$3,0)</f>
        <v>#REF!</v>
      </c>
      <c r="AY27" s="92" t="e">
        <f>INDEX(Data!$LA$2:$LD$3,'Panel Glide Blinds'!AX27,'Panel Glide Blinds'!AW27)</f>
        <v>#REF!</v>
      </c>
      <c r="BB27" s="92" t="e">
        <f>IF(#REF!=Data!$QK$2,Data!$QL$1,IF(#REF!=Data!$QK$3,Data!$QM$1,IF(#REF!=Data!$QK$4,Data!$QN$1,IF(#REF!=Data!$QK$5,Data!$QO$1,IF(#REF!=Data!$QK$6,Data!$QP$1,IF(#REF!=Data!$QK$7,Data!$QQ$1,IF(#REF!=Data!$QK$8,Data!$QR$1,IF(#REF!=Data!$QK$9,Data!$QS$1,IF(#REF!=Data!$QK$10,Data!$QT$1,IF(#REF!=Data!$QK$11,Data!$QU$1))))))))))</f>
        <v>#REF!</v>
      </c>
      <c r="BC27" s="33" t="e">
        <f>IF(#REF!=Data!$QK$2,Data!$QL$17,IF(#REF!=Data!$QK$3,Data!$QM$17,IF(#REF!=Data!$QK$4,Data!$QN$17,IF(#REF!=Data!$QK$5,Data!$QO$17,IF(#REF!=Data!$QK$6,Data!$QP$17,IF(#REF!=Data!$QK$7,Data!$QQ$17,IF(#REF!=Data!$QK$8,Data!$QR$17,IF(#REF!=Data!$QK$9,Data!$QS$17,IF(#REF!=Data!$QK$10,Data!$QT$17,IF(#REF!=Data!$QK$11,Data!$QU$17))))))))))</f>
        <v>#REF!</v>
      </c>
      <c r="BD27" s="33" t="e">
        <f>IF(#REF!=Data!$PU$2,Data!$PW$1,IF(#REF!=Data!$PU$3,Data!$PW$1,IF(#REF!=Data!$PU$4,Data!$PV$1,IF(#REF!=Data!$PU$5,Data!$PV$1,))))</f>
        <v>#REF!</v>
      </c>
      <c r="BE27" s="33" t="e">
        <f>MATCH('Panel Glide Blinds'!D27,Data!$YK$2:$YK$15)</f>
        <v>#N/A</v>
      </c>
      <c r="BF27" s="33" t="e">
        <f>MATCH(O27,Data!$YL$1:$YM$1)</f>
        <v>#N/A</v>
      </c>
      <c r="BG27" s="33" t="e">
        <f>INDEX(Data!$YL$2:$YM$15,BE27,BF27)</f>
        <v>#N/A</v>
      </c>
      <c r="BH27" s="33" t="b">
        <f>IF(O27=Data!$ZF$1,Data!$ZD$1,IF(O27=Data!$ZF$2,Data!$ZE$1))</f>
        <v>0</v>
      </c>
      <c r="BI27" s="33" t="e">
        <f>VLOOKUP(H27,Data!$ZL$2:$ZM$8,2,FALSE)</f>
        <v>#N/A</v>
      </c>
      <c r="BJ27" s="92" t="e">
        <f>VLOOKUP(H27,Data!$ZW$2:$ZX$9,2,FALSE)</f>
        <v>#N/A</v>
      </c>
      <c r="BK27" s="92" t="e">
        <f>VLOOKUP(H27,Data!$ZW$2:$ZY$8,3,FALSE)</f>
        <v>#N/A</v>
      </c>
      <c r="BL27" s="92" t="str">
        <f t="shared" si="0"/>
        <v/>
      </c>
      <c r="BM27" s="92" t="str">
        <f t="shared" si="1"/>
        <v/>
      </c>
      <c r="BN27" s="92" t="str">
        <f t="shared" si="4"/>
        <v/>
      </c>
      <c r="BO27" s="33" t="e">
        <f t="shared" si="5"/>
        <v>#DIV/0!</v>
      </c>
      <c r="BP27" s="33" t="e">
        <f t="shared" si="6"/>
        <v>#DIV/0!</v>
      </c>
      <c r="BQ27" s="33" t="e">
        <f t="shared" si="7"/>
        <v>#DIV/0!</v>
      </c>
      <c r="BR27" s="33" t="str">
        <f t="shared" si="8"/>
        <v/>
      </c>
    </row>
    <row r="28" spans="1:70" ht="30" customHeight="1" thickTop="1" thickBot="1">
      <c r="A28" s="53">
        <v>21</v>
      </c>
      <c r="B28" s="13"/>
      <c r="C28" s="13"/>
      <c r="D28" s="19"/>
      <c r="E28" s="15"/>
      <c r="F28" s="14"/>
      <c r="G28" s="14"/>
      <c r="H28" s="14"/>
      <c r="I28" s="13"/>
      <c r="J28" s="14"/>
      <c r="K28" s="14"/>
      <c r="L28" s="484"/>
      <c r="M28" s="485"/>
      <c r="N28" s="15"/>
      <c r="O28" s="15"/>
      <c r="P28" s="15"/>
      <c r="Q28" s="13"/>
      <c r="R28" s="13"/>
      <c r="S28" s="13"/>
      <c r="T28" s="555"/>
      <c r="U28" s="556"/>
      <c r="V28" s="236"/>
      <c r="W28" s="237"/>
      <c r="X28" s="284" t="e">
        <f t="shared" si="2"/>
        <v>#N/A</v>
      </c>
      <c r="Y28" s="284" t="e">
        <f>VLOOKUP(Q28,Data!$QH$2:$QI$4,2,FALSE)</f>
        <v>#N/A</v>
      </c>
      <c r="AA28" s="284" t="e">
        <f t="shared" si="3"/>
        <v>#N/A</v>
      </c>
      <c r="AD28" s="92" t="e">
        <f>IF(#REF!=Data!$KK$2,Data!$KM$1,IF(#REF!=Data!$KK$3,Data!$KN$1,IF(#REF!=Data!$KK$4,Data!$KP$1,IF(#REF!=Data!$KK$5,Data!$KQ$1))))</f>
        <v>#REF!</v>
      </c>
      <c r="AE28" s="33" t="str">
        <f>IF(D28=Data!$W$10,Data!$QJ$1,Data!$QK$1)</f>
        <v>RollerControl</v>
      </c>
      <c r="AH28" s="33" t="b">
        <f>IF(Q28=Data!$PX$2,Data!$PZ$1,IF(Q28=Data!$PX$3,Data!$PY$1,IF(Q28=Data!$PX$4,Data!$QA$1)))</f>
        <v>0</v>
      </c>
      <c r="AJ28" s="33" t="b">
        <f>IF(Q28=Data!$PX$3,Data!$QB$1,IF(Q28=Data!$PX$2,Data!$QC$1,IF(Q28=Data!$PX$4,Data!$QD$1)))</f>
        <v>0</v>
      </c>
      <c r="AL28" s="33" t="str">
        <f>IF(D28=Data!$W$3,Data!$QF$1,IF(D28=Data!$W$4,Data!$QF$1,IF(D28=Data!$W$5,Data!$QF$1,IF(D28=Data!$W$6,Data!$QF$1,IF(D28=Data!$W$7,Data!$QF$1,IF(D28=Data!$W$8,Data!$QF$1,IF(D28=Data!$W$9,Data!$QF$1,IF(D28=Data!$W$10,Data!$QE$1,IF(D28=Data!$W$11,Data!$QF$1,IF(D28=Data!$W$12,Data!$QF$1,IF(D28=Data!$W$13,Data!$QF$1,IF(D28=Data!$W$14,Data!$QF$1,IF(D28=Data!$W$15,Data!$QF$1,IF(D28=Data!$W$16,Data!$QF$1))))))))))))))</f>
        <v>RollerBracketType2</v>
      </c>
      <c r="AV28" s="40" t="e">
        <f>IF(AND(G28&lt;2130, OR(#REF!&lt;2100)),Data!$KS$1,Data!$KT$1)</f>
        <v>#REF!</v>
      </c>
      <c r="AW28" s="92" t="e">
        <f>MATCH(#REF!,Data!$LA$1:$LD$1,0)</f>
        <v>#REF!</v>
      </c>
      <c r="AX28" s="92" t="e">
        <f>MATCH('Panel Glide Blinds'!AV28,Data!$KZ$2:$KZ$3,0)</f>
        <v>#REF!</v>
      </c>
      <c r="AY28" s="92" t="e">
        <f>INDEX(Data!$LA$2:$LD$3,'Panel Glide Blinds'!AX28,'Panel Glide Blinds'!AW28)</f>
        <v>#REF!</v>
      </c>
      <c r="BB28" s="92" t="e">
        <f>IF(#REF!=Data!$QK$2,Data!$QL$1,IF(#REF!=Data!$QK$3,Data!$QM$1,IF(#REF!=Data!$QK$4,Data!$QN$1,IF(#REF!=Data!$QK$5,Data!$QO$1,IF(#REF!=Data!$QK$6,Data!$QP$1,IF(#REF!=Data!$QK$7,Data!$QQ$1,IF(#REF!=Data!$QK$8,Data!$QR$1,IF(#REF!=Data!$QK$9,Data!$QS$1,IF(#REF!=Data!$QK$10,Data!$QT$1,IF(#REF!=Data!$QK$11,Data!$QU$1))))))))))</f>
        <v>#REF!</v>
      </c>
      <c r="BC28" s="33" t="e">
        <f>IF(#REF!=Data!$QK$2,Data!$QL$17,IF(#REF!=Data!$QK$3,Data!$QM$17,IF(#REF!=Data!$QK$4,Data!$QN$17,IF(#REF!=Data!$QK$5,Data!$QO$17,IF(#REF!=Data!$QK$6,Data!$QP$17,IF(#REF!=Data!$QK$7,Data!$QQ$17,IF(#REF!=Data!$QK$8,Data!$QR$17,IF(#REF!=Data!$QK$9,Data!$QS$17,IF(#REF!=Data!$QK$10,Data!$QT$17,IF(#REF!=Data!$QK$11,Data!$QU$17))))))))))</f>
        <v>#REF!</v>
      </c>
      <c r="BD28" s="33" t="e">
        <f>IF(#REF!=Data!$PU$2,Data!$PW$1,IF(#REF!=Data!$PU$3,Data!$PW$1,IF(#REF!=Data!$PU$4,Data!$PV$1,IF(#REF!=Data!$PU$5,Data!$PV$1,))))</f>
        <v>#REF!</v>
      </c>
      <c r="BE28" s="33" t="e">
        <f>MATCH('Panel Glide Blinds'!D28,Data!$YK$2:$YK$15)</f>
        <v>#N/A</v>
      </c>
      <c r="BF28" s="33" t="e">
        <f>MATCH(O28,Data!$YL$1:$YM$1)</f>
        <v>#N/A</v>
      </c>
      <c r="BG28" s="33" t="e">
        <f>INDEX(Data!$YL$2:$YM$15,BE28,BF28)</f>
        <v>#N/A</v>
      </c>
      <c r="BH28" s="33" t="b">
        <f>IF(O28=Data!$ZF$1,Data!$ZD$1,IF(O28=Data!$ZF$2,Data!$ZE$1))</f>
        <v>0</v>
      </c>
      <c r="BI28" s="33" t="e">
        <f>VLOOKUP(H28,Data!$ZL$2:$ZM$8,2,FALSE)</f>
        <v>#N/A</v>
      </c>
      <c r="BJ28" s="92" t="e">
        <f>VLOOKUP(H28,Data!$ZW$2:$ZX$9,2,FALSE)</f>
        <v>#N/A</v>
      </c>
      <c r="BK28" s="92" t="e">
        <f>VLOOKUP(H28,Data!$ZW$2:$ZY$8,3,FALSE)</f>
        <v>#N/A</v>
      </c>
      <c r="BL28" s="92" t="str">
        <f t="shared" si="0"/>
        <v/>
      </c>
      <c r="BM28" s="92" t="str">
        <f t="shared" si="1"/>
        <v/>
      </c>
      <c r="BN28" s="92" t="str">
        <f t="shared" si="4"/>
        <v/>
      </c>
      <c r="BO28" s="33" t="e">
        <f t="shared" si="5"/>
        <v>#DIV/0!</v>
      </c>
      <c r="BP28" s="33" t="e">
        <f t="shared" si="6"/>
        <v>#DIV/0!</v>
      </c>
      <c r="BQ28" s="33" t="e">
        <f t="shared" si="7"/>
        <v>#DIV/0!</v>
      </c>
      <c r="BR28" s="33" t="str">
        <f t="shared" si="8"/>
        <v/>
      </c>
    </row>
    <row r="29" spans="1:70" ht="30" customHeight="1" thickTop="1" thickBot="1">
      <c r="A29" s="53">
        <v>22</v>
      </c>
      <c r="B29" s="13"/>
      <c r="C29" s="13"/>
      <c r="D29" s="19"/>
      <c r="E29" s="15"/>
      <c r="F29" s="14"/>
      <c r="G29" s="14"/>
      <c r="H29" s="14"/>
      <c r="I29" s="13"/>
      <c r="J29" s="14"/>
      <c r="K29" s="14"/>
      <c r="L29" s="484"/>
      <c r="M29" s="485"/>
      <c r="N29" s="15"/>
      <c r="O29" s="15"/>
      <c r="P29" s="15"/>
      <c r="Q29" s="13"/>
      <c r="R29" s="13"/>
      <c r="S29" s="13"/>
      <c r="T29" s="555"/>
      <c r="U29" s="556"/>
      <c r="V29" s="236"/>
      <c r="W29" s="237"/>
      <c r="X29" s="284" t="e">
        <f t="shared" si="2"/>
        <v>#N/A</v>
      </c>
      <c r="Y29" s="284" t="e">
        <f>VLOOKUP(Q29,Data!$QH$2:$QI$4,2,FALSE)</f>
        <v>#N/A</v>
      </c>
      <c r="AA29" s="284" t="e">
        <f t="shared" si="3"/>
        <v>#N/A</v>
      </c>
      <c r="AD29" s="92" t="e">
        <f>IF(#REF!=Data!$KK$2,Data!$KM$1,IF(#REF!=Data!$KK$3,Data!$KN$1,IF(#REF!=Data!$KK$4,Data!$KP$1,IF(#REF!=Data!$KK$5,Data!$KQ$1))))</f>
        <v>#REF!</v>
      </c>
      <c r="AE29" s="33" t="str">
        <f>IF(D29=Data!$W$10,Data!$QJ$1,Data!$QK$1)</f>
        <v>RollerControl</v>
      </c>
      <c r="AH29" s="33" t="b">
        <f>IF(Q29=Data!$PX$2,Data!$PZ$1,IF(Q29=Data!$PX$3,Data!$PY$1,IF(Q29=Data!$PX$4,Data!$QA$1)))</f>
        <v>0</v>
      </c>
      <c r="AJ29" s="33" t="b">
        <f>IF(Q29=Data!$PX$3,Data!$QB$1,IF(Q29=Data!$PX$2,Data!$QC$1,IF(Q29=Data!$PX$4,Data!$QD$1)))</f>
        <v>0</v>
      </c>
      <c r="AL29" s="33" t="str">
        <f>IF(D29=Data!$W$3,Data!$QF$1,IF(D29=Data!$W$4,Data!$QF$1,IF(D29=Data!$W$5,Data!$QF$1,IF(D29=Data!$W$6,Data!$QF$1,IF(D29=Data!$W$7,Data!$QF$1,IF(D29=Data!$W$8,Data!$QF$1,IF(D29=Data!$W$9,Data!$QF$1,IF(D29=Data!$W$10,Data!$QE$1,IF(D29=Data!$W$11,Data!$QF$1,IF(D29=Data!$W$12,Data!$QF$1,IF(D29=Data!$W$13,Data!$QF$1,IF(D29=Data!$W$14,Data!$QF$1,IF(D29=Data!$W$15,Data!$QF$1,IF(D29=Data!$W$16,Data!$QF$1))))))))))))))</f>
        <v>RollerBracketType2</v>
      </c>
      <c r="AV29" s="40" t="e">
        <f>IF(AND(G29&lt;2130, OR(#REF!&lt;2100)),Data!$KS$1,Data!$KT$1)</f>
        <v>#REF!</v>
      </c>
      <c r="AW29" s="92" t="e">
        <f>MATCH(#REF!,Data!$LA$1:$LD$1,0)</f>
        <v>#REF!</v>
      </c>
      <c r="AX29" s="92" t="e">
        <f>MATCH('Panel Glide Blinds'!AV29,Data!$KZ$2:$KZ$3,0)</f>
        <v>#REF!</v>
      </c>
      <c r="AY29" s="92" t="e">
        <f>INDEX(Data!$LA$2:$LD$3,'Panel Glide Blinds'!AX29,'Panel Glide Blinds'!AW29)</f>
        <v>#REF!</v>
      </c>
      <c r="BB29" s="92" t="e">
        <f>IF(#REF!=Data!$QK$2,Data!$QL$1,IF(#REF!=Data!$QK$3,Data!$QM$1,IF(#REF!=Data!$QK$4,Data!$QN$1,IF(#REF!=Data!$QK$5,Data!$QO$1,IF(#REF!=Data!$QK$6,Data!$QP$1,IF(#REF!=Data!$QK$7,Data!$QQ$1,IF(#REF!=Data!$QK$8,Data!$QR$1,IF(#REF!=Data!$QK$9,Data!$QS$1,IF(#REF!=Data!$QK$10,Data!$QT$1,IF(#REF!=Data!$QK$11,Data!$QU$1))))))))))</f>
        <v>#REF!</v>
      </c>
      <c r="BC29" s="33" t="e">
        <f>IF(#REF!=Data!$QK$2,Data!$QL$17,IF(#REF!=Data!$QK$3,Data!$QM$17,IF(#REF!=Data!$QK$4,Data!$QN$17,IF(#REF!=Data!$QK$5,Data!$QO$17,IF(#REF!=Data!$QK$6,Data!$QP$17,IF(#REF!=Data!$QK$7,Data!$QQ$17,IF(#REF!=Data!$QK$8,Data!$QR$17,IF(#REF!=Data!$QK$9,Data!$QS$17,IF(#REF!=Data!$QK$10,Data!$QT$17,IF(#REF!=Data!$QK$11,Data!$QU$17))))))))))</f>
        <v>#REF!</v>
      </c>
      <c r="BD29" s="33" t="e">
        <f>IF(#REF!=Data!$PU$2,Data!$PW$1,IF(#REF!=Data!$PU$3,Data!$PW$1,IF(#REF!=Data!$PU$4,Data!$PV$1,IF(#REF!=Data!$PU$5,Data!$PV$1,))))</f>
        <v>#REF!</v>
      </c>
      <c r="BE29" s="33" t="e">
        <f>MATCH('Panel Glide Blinds'!D29,Data!$YK$2:$YK$15)</f>
        <v>#N/A</v>
      </c>
      <c r="BF29" s="33" t="e">
        <f>MATCH(O29,Data!$YL$1:$YM$1)</f>
        <v>#N/A</v>
      </c>
      <c r="BG29" s="33" t="e">
        <f>INDEX(Data!$YL$2:$YM$15,BE29,BF29)</f>
        <v>#N/A</v>
      </c>
      <c r="BH29" s="33" t="b">
        <f>IF(O29=Data!$ZF$1,Data!$ZD$1,IF(O29=Data!$ZF$2,Data!$ZE$1))</f>
        <v>0</v>
      </c>
      <c r="BI29" s="33" t="e">
        <f>VLOOKUP(H29,Data!$ZL$2:$ZM$8,2,FALSE)</f>
        <v>#N/A</v>
      </c>
      <c r="BJ29" s="92" t="e">
        <f>VLOOKUP(H29,Data!$ZW$2:$ZX$9,2,FALSE)</f>
        <v>#N/A</v>
      </c>
      <c r="BK29" s="92" t="e">
        <f>VLOOKUP(H29,Data!$ZW$2:$ZY$8,3,FALSE)</f>
        <v>#N/A</v>
      </c>
      <c r="BL29" s="92" t="str">
        <f t="shared" si="0"/>
        <v/>
      </c>
      <c r="BM29" s="92" t="str">
        <f t="shared" si="1"/>
        <v/>
      </c>
      <c r="BN29" s="92" t="str">
        <f t="shared" si="4"/>
        <v/>
      </c>
      <c r="BO29" s="33" t="e">
        <f t="shared" si="5"/>
        <v>#DIV/0!</v>
      </c>
      <c r="BP29" s="33" t="e">
        <f t="shared" si="6"/>
        <v>#DIV/0!</v>
      </c>
      <c r="BQ29" s="33" t="e">
        <f t="shared" si="7"/>
        <v>#DIV/0!</v>
      </c>
      <c r="BR29" s="33" t="str">
        <f t="shared" si="8"/>
        <v/>
      </c>
    </row>
    <row r="30" spans="1:70" ht="30" customHeight="1" thickTop="1" thickBot="1">
      <c r="A30" s="53">
        <v>23</v>
      </c>
      <c r="B30" s="13"/>
      <c r="C30" s="13"/>
      <c r="D30" s="13"/>
      <c r="E30" s="15"/>
      <c r="F30" s="14"/>
      <c r="G30" s="14"/>
      <c r="H30" s="14"/>
      <c r="I30" s="13"/>
      <c r="J30" s="14"/>
      <c r="K30" s="14"/>
      <c r="L30" s="484"/>
      <c r="M30" s="485"/>
      <c r="N30" s="15"/>
      <c r="O30" s="15"/>
      <c r="P30" s="15"/>
      <c r="Q30" s="13"/>
      <c r="R30" s="13"/>
      <c r="S30" s="13"/>
      <c r="T30" s="555"/>
      <c r="U30" s="556"/>
      <c r="V30" s="236"/>
      <c r="W30" s="237"/>
      <c r="X30" s="284" t="e">
        <f t="shared" si="2"/>
        <v>#N/A</v>
      </c>
      <c r="Y30" s="284" t="e">
        <f>VLOOKUP(Q30,Data!$QH$2:$QI$4,2,FALSE)</f>
        <v>#N/A</v>
      </c>
      <c r="AA30" s="284" t="e">
        <f t="shared" si="3"/>
        <v>#N/A</v>
      </c>
      <c r="AD30" s="92" t="e">
        <f>IF(#REF!=Data!$KK$2,Data!$KM$1,IF(#REF!=Data!$KK$3,Data!$KN$1,IF(#REF!=Data!$KK$4,Data!$KP$1,IF(#REF!=Data!$KK$5,Data!$KQ$1))))</f>
        <v>#REF!</v>
      </c>
      <c r="AE30" s="33" t="str">
        <f>IF(D30=Data!$W$10,Data!$QJ$1,Data!$QK$1)</f>
        <v>RollerControl</v>
      </c>
      <c r="AH30" s="33" t="b">
        <f>IF(Q30=Data!$PX$2,Data!$PZ$1,IF(Q30=Data!$PX$3,Data!$PY$1,IF(Q30=Data!$PX$4,Data!$QA$1)))</f>
        <v>0</v>
      </c>
      <c r="AJ30" s="33" t="b">
        <f>IF(Q30=Data!$PX$3,Data!$QB$1,IF(Q30=Data!$PX$2,Data!$QC$1,IF(Q30=Data!$PX$4,Data!$QD$1)))</f>
        <v>0</v>
      </c>
      <c r="AL30" s="33" t="str">
        <f>IF(D30=Data!$W$3,Data!$QF$1,IF(D30=Data!$W$4,Data!$QF$1,IF(D30=Data!$W$5,Data!$QF$1,IF(D30=Data!$W$6,Data!$QF$1,IF(D30=Data!$W$7,Data!$QF$1,IF(D30=Data!$W$8,Data!$QF$1,IF(D30=Data!$W$9,Data!$QF$1,IF(D30=Data!$W$10,Data!$QE$1,IF(D30=Data!$W$11,Data!$QF$1,IF(D30=Data!$W$12,Data!$QF$1,IF(D30=Data!$W$13,Data!$QF$1,IF(D30=Data!$W$14,Data!$QF$1,IF(D30=Data!$W$15,Data!$QF$1,IF(D30=Data!$W$16,Data!$QF$1))))))))))))))</f>
        <v>RollerBracketType2</v>
      </c>
      <c r="AV30" s="40" t="e">
        <f>IF(AND(G30&lt;2130, OR(#REF!&lt;2100)),Data!$KS$1,Data!$KT$1)</f>
        <v>#REF!</v>
      </c>
      <c r="AW30" s="92" t="e">
        <f>MATCH(#REF!,Data!$LA$1:$LD$1,0)</f>
        <v>#REF!</v>
      </c>
      <c r="AX30" s="92" t="e">
        <f>MATCH('Panel Glide Blinds'!AV30,Data!$KZ$2:$KZ$3,0)</f>
        <v>#REF!</v>
      </c>
      <c r="AY30" s="92" t="e">
        <f>INDEX(Data!$LA$2:$LD$3,'Panel Glide Blinds'!AX30,'Panel Glide Blinds'!AW30)</f>
        <v>#REF!</v>
      </c>
      <c r="BB30" s="92" t="e">
        <f>IF(#REF!=Data!$QK$2,Data!$QL$1,IF(#REF!=Data!$QK$3,Data!$QM$1,IF(#REF!=Data!$QK$4,Data!$QN$1,IF(#REF!=Data!$QK$5,Data!$QO$1,IF(#REF!=Data!$QK$6,Data!$QP$1,IF(#REF!=Data!$QK$7,Data!$QQ$1,IF(#REF!=Data!$QK$8,Data!$QR$1,IF(#REF!=Data!$QK$9,Data!$QS$1,IF(#REF!=Data!$QK$10,Data!$QT$1,IF(#REF!=Data!$QK$11,Data!$QU$1))))))))))</f>
        <v>#REF!</v>
      </c>
      <c r="BC30" s="33" t="e">
        <f>IF(#REF!=Data!$QK$2,Data!$QL$17,IF(#REF!=Data!$QK$3,Data!$QM$17,IF(#REF!=Data!$QK$4,Data!$QN$17,IF(#REF!=Data!$QK$5,Data!$QO$17,IF(#REF!=Data!$QK$6,Data!$QP$17,IF(#REF!=Data!$QK$7,Data!$QQ$17,IF(#REF!=Data!$QK$8,Data!$QR$17,IF(#REF!=Data!$QK$9,Data!$QS$17,IF(#REF!=Data!$QK$10,Data!$QT$17,IF(#REF!=Data!$QK$11,Data!$QU$17))))))))))</f>
        <v>#REF!</v>
      </c>
      <c r="BD30" s="33" t="e">
        <f>IF(#REF!=Data!$PU$2,Data!$PW$1,IF(#REF!=Data!$PU$3,Data!$PW$1,IF(#REF!=Data!$PU$4,Data!$PV$1,IF(#REF!=Data!$PU$5,Data!$PV$1,))))</f>
        <v>#REF!</v>
      </c>
      <c r="BE30" s="33" t="e">
        <f>MATCH('Panel Glide Blinds'!D30,Data!$YK$2:$YK$15)</f>
        <v>#N/A</v>
      </c>
      <c r="BF30" s="33" t="e">
        <f>MATCH(O30,Data!$YL$1:$YM$1)</f>
        <v>#N/A</v>
      </c>
      <c r="BG30" s="33" t="e">
        <f>INDEX(Data!$YL$2:$YM$15,BE30,BF30)</f>
        <v>#N/A</v>
      </c>
      <c r="BH30" s="33" t="b">
        <f>IF(O30=Data!$ZF$1,Data!$ZD$1,IF(O30=Data!$ZF$2,Data!$ZE$1))</f>
        <v>0</v>
      </c>
      <c r="BI30" s="33" t="e">
        <f>VLOOKUP(H30,Data!$ZL$2:$ZM$8,2,FALSE)</f>
        <v>#N/A</v>
      </c>
      <c r="BJ30" s="92" t="e">
        <f>VLOOKUP(H30,Data!$ZW$2:$ZX$9,2,FALSE)</f>
        <v>#N/A</v>
      </c>
      <c r="BK30" s="92" t="e">
        <f>VLOOKUP(H30,Data!$ZW$2:$ZY$8,3,FALSE)</f>
        <v>#N/A</v>
      </c>
      <c r="BL30" s="92" t="str">
        <f t="shared" si="0"/>
        <v/>
      </c>
      <c r="BM30" s="92" t="str">
        <f t="shared" si="1"/>
        <v/>
      </c>
      <c r="BN30" s="92" t="str">
        <f t="shared" si="4"/>
        <v/>
      </c>
      <c r="BO30" s="33" t="e">
        <f t="shared" si="5"/>
        <v>#DIV/0!</v>
      </c>
      <c r="BP30" s="33" t="e">
        <f t="shared" si="6"/>
        <v>#DIV/0!</v>
      </c>
      <c r="BQ30" s="33" t="e">
        <f t="shared" si="7"/>
        <v>#DIV/0!</v>
      </c>
      <c r="BR30" s="33" t="str">
        <f t="shared" si="8"/>
        <v/>
      </c>
    </row>
    <row r="31" spans="1:70" ht="30" customHeight="1" thickTop="1" thickBot="1">
      <c r="A31" s="53">
        <v>24</v>
      </c>
      <c r="B31" s="13"/>
      <c r="C31" s="13"/>
      <c r="D31" s="19"/>
      <c r="E31" s="15"/>
      <c r="F31" s="14"/>
      <c r="G31" s="14"/>
      <c r="H31" s="14"/>
      <c r="I31" s="13"/>
      <c r="J31" s="14"/>
      <c r="K31" s="10"/>
      <c r="L31" s="520"/>
      <c r="M31" s="521"/>
      <c r="N31" s="18"/>
      <c r="O31" s="18"/>
      <c r="P31" s="15"/>
      <c r="Q31" s="13"/>
      <c r="R31" s="13"/>
      <c r="S31" s="13"/>
      <c r="T31" s="555"/>
      <c r="U31" s="556"/>
      <c r="V31" s="236"/>
      <c r="W31" s="237"/>
      <c r="X31" s="284" t="e">
        <f t="shared" si="2"/>
        <v>#N/A</v>
      </c>
      <c r="Y31" s="284" t="e">
        <f>VLOOKUP(Q31,Data!$QH$2:$QI$4,2,FALSE)</f>
        <v>#N/A</v>
      </c>
      <c r="AA31" s="284" t="e">
        <f t="shared" si="3"/>
        <v>#N/A</v>
      </c>
      <c r="AD31" s="92" t="e">
        <f>IF(#REF!=Data!$KK$2,Data!$KM$1,IF(#REF!=Data!$KK$3,Data!$KN$1,IF(#REF!=Data!$KK$4,Data!$KP$1,IF(#REF!=Data!$KK$5,Data!$KQ$1))))</f>
        <v>#REF!</v>
      </c>
      <c r="AE31" s="33" t="str">
        <f>IF(D31=Data!$W$10,Data!$QJ$1,Data!$QK$1)</f>
        <v>RollerControl</v>
      </c>
      <c r="AH31" s="33" t="b">
        <f>IF(Q31=Data!$PX$2,Data!$PZ$1,IF(Q31=Data!$PX$3,Data!$PY$1,IF(Q31=Data!$PX$4,Data!$QA$1)))</f>
        <v>0</v>
      </c>
      <c r="AJ31" s="33" t="b">
        <f>IF(Q31=Data!$PX$3,Data!$QB$1,IF(Q31=Data!$PX$2,Data!$QC$1,IF(Q31=Data!$PX$4,Data!$QD$1)))</f>
        <v>0</v>
      </c>
      <c r="AL31" s="33" t="str">
        <f>IF(D31=Data!$W$3,Data!$QF$1,IF(D31=Data!$W$4,Data!$QF$1,IF(D31=Data!$W$5,Data!$QF$1,IF(D31=Data!$W$6,Data!$QF$1,IF(D31=Data!$W$7,Data!$QF$1,IF(D31=Data!$W$8,Data!$QF$1,IF(D31=Data!$W$9,Data!$QF$1,IF(D31=Data!$W$10,Data!$QE$1,IF(D31=Data!$W$11,Data!$QF$1,IF(D31=Data!$W$12,Data!$QF$1,IF(D31=Data!$W$13,Data!$QF$1,IF(D31=Data!$W$14,Data!$QF$1,IF(D31=Data!$W$15,Data!$QF$1,IF(D31=Data!$W$16,Data!$QF$1))))))))))))))</f>
        <v>RollerBracketType2</v>
      </c>
      <c r="AV31" s="40" t="e">
        <f>IF(AND(G31&lt;2130, OR(#REF!&lt;2100)),Data!$KS$1,Data!$KT$1)</f>
        <v>#REF!</v>
      </c>
      <c r="AW31" s="92" t="e">
        <f>MATCH(#REF!,Data!$LA$1:$LD$1,0)</f>
        <v>#REF!</v>
      </c>
      <c r="AX31" s="92" t="e">
        <f>MATCH('Panel Glide Blinds'!AV31,Data!$KZ$2:$KZ$3,0)</f>
        <v>#REF!</v>
      </c>
      <c r="AY31" s="92" t="e">
        <f>INDEX(Data!$LA$2:$LD$3,'Panel Glide Blinds'!AX31,'Panel Glide Blinds'!AW31)</f>
        <v>#REF!</v>
      </c>
      <c r="BB31" s="92" t="e">
        <f>IF(#REF!=Data!$QK$2,Data!$QL$1,IF(#REF!=Data!$QK$3,Data!$QM$1,IF(#REF!=Data!$QK$4,Data!$QN$1,IF(#REF!=Data!$QK$5,Data!$QO$1,IF(#REF!=Data!$QK$6,Data!$QP$1,IF(#REF!=Data!$QK$7,Data!$QQ$1,IF(#REF!=Data!$QK$8,Data!$QR$1,IF(#REF!=Data!$QK$9,Data!$QS$1,IF(#REF!=Data!$QK$10,Data!$QT$1,IF(#REF!=Data!$QK$11,Data!$QU$1))))))))))</f>
        <v>#REF!</v>
      </c>
      <c r="BC31" s="33" t="e">
        <f>IF(#REF!=Data!$QK$2,Data!$QL$17,IF(#REF!=Data!$QK$3,Data!$QM$17,IF(#REF!=Data!$QK$4,Data!$QN$17,IF(#REF!=Data!$QK$5,Data!$QO$17,IF(#REF!=Data!$QK$6,Data!$QP$17,IF(#REF!=Data!$QK$7,Data!$QQ$17,IF(#REF!=Data!$QK$8,Data!$QR$17,IF(#REF!=Data!$QK$9,Data!$QS$17,IF(#REF!=Data!$QK$10,Data!$QT$17,IF(#REF!=Data!$QK$11,Data!$QU$17))))))))))</f>
        <v>#REF!</v>
      </c>
      <c r="BD31" s="33" t="e">
        <f>IF(#REF!=Data!$PU$2,Data!$PW$1,IF(#REF!=Data!$PU$3,Data!$PW$1,IF(#REF!=Data!$PU$4,Data!$PV$1,IF(#REF!=Data!$PU$5,Data!$PV$1,))))</f>
        <v>#REF!</v>
      </c>
      <c r="BE31" s="33" t="e">
        <f>MATCH('Panel Glide Blinds'!D31,Data!$YK$2:$YK$15)</f>
        <v>#N/A</v>
      </c>
      <c r="BF31" s="33" t="e">
        <f>MATCH(O31,Data!$YL$1:$YM$1)</f>
        <v>#N/A</v>
      </c>
      <c r="BG31" s="33" t="e">
        <f>INDEX(Data!$YL$2:$YM$15,BE31,BF31)</f>
        <v>#N/A</v>
      </c>
      <c r="BH31" s="33" t="b">
        <f>IF(O31=Data!$ZF$1,Data!$ZD$1,IF(O31=Data!$ZF$2,Data!$ZE$1))</f>
        <v>0</v>
      </c>
      <c r="BI31" s="33" t="e">
        <f>VLOOKUP(H31,Data!$ZL$2:$ZM$8,2,FALSE)</f>
        <v>#N/A</v>
      </c>
      <c r="BJ31" s="92" t="e">
        <f>VLOOKUP(H31,Data!$ZW$2:$ZX$9,2,FALSE)</f>
        <v>#N/A</v>
      </c>
      <c r="BK31" s="92" t="e">
        <f>VLOOKUP(H31,Data!$ZW$2:$ZY$8,3,FALSE)</f>
        <v>#N/A</v>
      </c>
      <c r="BL31" s="92" t="str">
        <f t="shared" si="0"/>
        <v/>
      </c>
      <c r="BM31" s="92" t="str">
        <f t="shared" si="1"/>
        <v/>
      </c>
      <c r="BN31" s="92" t="str">
        <f t="shared" si="4"/>
        <v/>
      </c>
      <c r="BO31" s="33" t="e">
        <f t="shared" si="5"/>
        <v>#DIV/0!</v>
      </c>
      <c r="BP31" s="33" t="e">
        <f t="shared" si="6"/>
        <v>#DIV/0!</v>
      </c>
      <c r="BQ31" s="33" t="e">
        <f t="shared" si="7"/>
        <v>#DIV/0!</v>
      </c>
      <c r="BR31" s="33" t="str">
        <f t="shared" si="8"/>
        <v/>
      </c>
    </row>
    <row r="32" spans="1:70" ht="30" customHeight="1" thickTop="1" thickBot="1">
      <c r="A32" s="53">
        <v>25</v>
      </c>
      <c r="B32" s="13"/>
      <c r="C32" s="13"/>
      <c r="D32" s="19"/>
      <c r="E32" s="15"/>
      <c r="F32" s="14"/>
      <c r="G32" s="14"/>
      <c r="H32" s="14"/>
      <c r="I32" s="13"/>
      <c r="J32" s="14"/>
      <c r="K32" s="14"/>
      <c r="L32" s="484"/>
      <c r="M32" s="485"/>
      <c r="N32" s="15"/>
      <c r="O32" s="15"/>
      <c r="P32" s="15"/>
      <c r="Q32" s="13"/>
      <c r="R32" s="13"/>
      <c r="S32" s="13"/>
      <c r="T32" s="555"/>
      <c r="U32" s="556"/>
      <c r="V32" s="236"/>
      <c r="W32" s="237"/>
      <c r="X32" s="284" t="e">
        <f t="shared" si="2"/>
        <v>#N/A</v>
      </c>
      <c r="Y32" s="284" t="e">
        <f>VLOOKUP(Q32,Data!$QH$2:$QI$4,2,FALSE)</f>
        <v>#N/A</v>
      </c>
      <c r="AA32" s="284" t="e">
        <f t="shared" si="3"/>
        <v>#N/A</v>
      </c>
      <c r="AD32" s="92" t="e">
        <f>IF(#REF!=Data!$KK$2,Data!$KM$1,IF(#REF!=Data!$KK$3,Data!$KN$1,IF(#REF!=Data!$KK$4,Data!$KP$1,IF(#REF!=Data!$KK$5,Data!$KQ$1))))</f>
        <v>#REF!</v>
      </c>
      <c r="AE32" s="33" t="str">
        <f>IF(D32=Data!$W$10,Data!$QJ$1,Data!$QK$1)</f>
        <v>RollerControl</v>
      </c>
      <c r="AH32" s="33" t="b">
        <f>IF(Q32=Data!$PX$2,Data!$PZ$1,IF(Q32=Data!$PX$3,Data!$PY$1,IF(Q32=Data!$PX$4,Data!$QA$1)))</f>
        <v>0</v>
      </c>
      <c r="AJ32" s="33" t="b">
        <f>IF(Q32=Data!$PX$3,Data!$QB$1,IF(Q32=Data!$PX$2,Data!$QC$1,IF(Q32=Data!$PX$4,Data!$QD$1)))</f>
        <v>0</v>
      </c>
      <c r="AL32" s="33" t="str">
        <f>IF(D32=Data!$W$3,Data!$QF$1,IF(D32=Data!$W$4,Data!$QF$1,IF(D32=Data!$W$5,Data!$QF$1,IF(D32=Data!$W$6,Data!$QF$1,IF(D32=Data!$W$7,Data!$QF$1,IF(D32=Data!$W$8,Data!$QF$1,IF(D32=Data!$W$9,Data!$QF$1,IF(D32=Data!$W$10,Data!$QE$1,IF(D32=Data!$W$11,Data!$QF$1,IF(D32=Data!$W$12,Data!$QF$1,IF(D32=Data!$W$13,Data!$QF$1,IF(D32=Data!$W$14,Data!$QF$1,IF(D32=Data!$W$15,Data!$QF$1,IF(D32=Data!$W$16,Data!$QF$1))))))))))))))</f>
        <v>RollerBracketType2</v>
      </c>
      <c r="AV32" s="40" t="e">
        <f>IF(AND(G32&lt;2130, OR(#REF!&lt;2100)),Data!$KS$1,Data!$KT$1)</f>
        <v>#REF!</v>
      </c>
      <c r="AW32" s="92" t="e">
        <f>MATCH(#REF!,Data!$LA$1:$LD$1,0)</f>
        <v>#REF!</v>
      </c>
      <c r="AX32" s="92" t="e">
        <f>MATCH('Panel Glide Blinds'!AV32,Data!$KZ$2:$KZ$3,0)</f>
        <v>#REF!</v>
      </c>
      <c r="AY32" s="92" t="e">
        <f>INDEX(Data!$LA$2:$LD$3,'Panel Glide Blinds'!AX32,'Panel Glide Blinds'!AW32)</f>
        <v>#REF!</v>
      </c>
      <c r="BB32" s="92" t="e">
        <f>IF(#REF!=Data!$QK$2,Data!$QL$1,IF(#REF!=Data!$QK$3,Data!$QM$1,IF(#REF!=Data!$QK$4,Data!$QN$1,IF(#REF!=Data!$QK$5,Data!$QO$1,IF(#REF!=Data!$QK$6,Data!$QP$1,IF(#REF!=Data!$QK$7,Data!$QQ$1,IF(#REF!=Data!$QK$8,Data!$QR$1,IF(#REF!=Data!$QK$9,Data!$QS$1,IF(#REF!=Data!$QK$10,Data!$QT$1,IF(#REF!=Data!$QK$11,Data!$QU$1))))))))))</f>
        <v>#REF!</v>
      </c>
      <c r="BC32" s="33" t="e">
        <f>IF(#REF!=Data!$QK$2,Data!$QL$17,IF(#REF!=Data!$QK$3,Data!$QM$17,IF(#REF!=Data!$QK$4,Data!$QN$17,IF(#REF!=Data!$QK$5,Data!$QO$17,IF(#REF!=Data!$QK$6,Data!$QP$17,IF(#REF!=Data!$QK$7,Data!$QQ$17,IF(#REF!=Data!$QK$8,Data!$QR$17,IF(#REF!=Data!$QK$9,Data!$QS$17,IF(#REF!=Data!$QK$10,Data!$QT$17,IF(#REF!=Data!$QK$11,Data!$QU$17))))))))))</f>
        <v>#REF!</v>
      </c>
      <c r="BD32" s="33" t="e">
        <f>IF(#REF!=Data!$PU$2,Data!$PW$1,IF(#REF!=Data!$PU$3,Data!$PW$1,IF(#REF!=Data!$PU$4,Data!$PV$1,IF(#REF!=Data!$PU$5,Data!$PV$1,))))</f>
        <v>#REF!</v>
      </c>
      <c r="BE32" s="33" t="e">
        <f>MATCH('Panel Glide Blinds'!D32,Data!$YK$2:$YK$15)</f>
        <v>#N/A</v>
      </c>
      <c r="BF32" s="33" t="e">
        <f>MATCH(O32,Data!$YL$1:$YM$1)</f>
        <v>#N/A</v>
      </c>
      <c r="BG32" s="33" t="e">
        <f>INDEX(Data!$YL$2:$YM$15,BE32,BF32)</f>
        <v>#N/A</v>
      </c>
      <c r="BH32" s="33" t="b">
        <f>IF(O32=Data!$ZF$1,Data!$ZD$1,IF(O32=Data!$ZF$2,Data!$ZE$1))</f>
        <v>0</v>
      </c>
      <c r="BI32" s="33" t="e">
        <f>VLOOKUP(H32,Data!$ZL$2:$ZM$8,2,FALSE)</f>
        <v>#N/A</v>
      </c>
      <c r="BJ32" s="92" t="e">
        <f>VLOOKUP(H32,Data!$ZW$2:$ZX$9,2,FALSE)</f>
        <v>#N/A</v>
      </c>
      <c r="BK32" s="92" t="e">
        <f>VLOOKUP(H32,Data!$ZW$2:$ZY$8,3,FALSE)</f>
        <v>#N/A</v>
      </c>
      <c r="BL32" s="92" t="str">
        <f t="shared" si="0"/>
        <v/>
      </c>
      <c r="BM32" s="92" t="str">
        <f t="shared" si="1"/>
        <v/>
      </c>
      <c r="BN32" s="92" t="str">
        <f t="shared" si="4"/>
        <v/>
      </c>
      <c r="BO32" s="33" t="e">
        <f t="shared" si="5"/>
        <v>#DIV/0!</v>
      </c>
      <c r="BP32" s="33" t="e">
        <f t="shared" si="6"/>
        <v>#DIV/0!</v>
      </c>
      <c r="BQ32" s="33" t="e">
        <f t="shared" si="7"/>
        <v>#DIV/0!</v>
      </c>
      <c r="BR32" s="33" t="str">
        <f t="shared" si="8"/>
        <v/>
      </c>
    </row>
    <row r="33" spans="1:70" ht="30" customHeight="1" thickTop="1" thickBot="1">
      <c r="A33" s="53">
        <v>26</v>
      </c>
      <c r="B33" s="13"/>
      <c r="C33" s="13"/>
      <c r="D33" s="19"/>
      <c r="E33" s="15"/>
      <c r="F33" s="14"/>
      <c r="G33" s="14"/>
      <c r="H33" s="14"/>
      <c r="I33" s="13"/>
      <c r="J33" s="14"/>
      <c r="K33" s="14"/>
      <c r="L33" s="484"/>
      <c r="M33" s="485"/>
      <c r="N33" s="15"/>
      <c r="O33" s="15"/>
      <c r="P33" s="15"/>
      <c r="Q33" s="13"/>
      <c r="R33" s="13"/>
      <c r="S33" s="13"/>
      <c r="T33" s="555"/>
      <c r="U33" s="556"/>
      <c r="V33" s="236"/>
      <c r="W33" s="237"/>
      <c r="X33" s="284" t="e">
        <f t="shared" si="2"/>
        <v>#N/A</v>
      </c>
      <c r="Y33" s="284" t="e">
        <f>VLOOKUP(Q33,Data!$QH$2:$QI$4,2,FALSE)</f>
        <v>#N/A</v>
      </c>
      <c r="AA33" s="284" t="e">
        <f t="shared" si="3"/>
        <v>#N/A</v>
      </c>
      <c r="AD33" s="92" t="e">
        <f>IF(#REF!=Data!$KK$2,Data!$KM$1,IF(#REF!=Data!$KK$3,Data!$KN$1,IF(#REF!=Data!$KK$4,Data!$KP$1,IF(#REF!=Data!$KK$5,Data!$KQ$1))))</f>
        <v>#REF!</v>
      </c>
      <c r="AE33" s="33" t="str">
        <f>IF(D33=Data!$W$10,Data!$QJ$1,Data!$QK$1)</f>
        <v>RollerControl</v>
      </c>
      <c r="AH33" s="33" t="b">
        <f>IF(Q33=Data!$PX$2,Data!$PZ$1,IF(Q33=Data!$PX$3,Data!$PY$1,IF(Q33=Data!$PX$4,Data!$QA$1)))</f>
        <v>0</v>
      </c>
      <c r="AJ33" s="33" t="b">
        <f>IF(Q33=Data!$PX$3,Data!$QB$1,IF(Q33=Data!$PX$2,Data!$QC$1,IF(Q33=Data!$PX$4,Data!$QD$1)))</f>
        <v>0</v>
      </c>
      <c r="AL33" s="33" t="str">
        <f>IF(D33=Data!$W$3,Data!$QF$1,IF(D33=Data!$W$4,Data!$QF$1,IF(D33=Data!$W$5,Data!$QF$1,IF(D33=Data!$W$6,Data!$QF$1,IF(D33=Data!$W$7,Data!$QF$1,IF(D33=Data!$W$8,Data!$QF$1,IF(D33=Data!$W$9,Data!$QF$1,IF(D33=Data!$W$10,Data!$QE$1,IF(D33=Data!$W$11,Data!$QF$1,IF(D33=Data!$W$12,Data!$QF$1,IF(D33=Data!$W$13,Data!$QF$1,IF(D33=Data!$W$14,Data!$QF$1,IF(D33=Data!$W$15,Data!$QF$1,IF(D33=Data!$W$16,Data!$QF$1))))))))))))))</f>
        <v>RollerBracketType2</v>
      </c>
      <c r="AV33" s="40" t="e">
        <f>IF(AND(G33&lt;2130, OR(#REF!&lt;2100)),Data!$KS$1,Data!$KT$1)</f>
        <v>#REF!</v>
      </c>
      <c r="AW33" s="92" t="e">
        <f>MATCH(#REF!,Data!$LA$1:$LD$1,0)</f>
        <v>#REF!</v>
      </c>
      <c r="AX33" s="92" t="e">
        <f>MATCH('Panel Glide Blinds'!AV33,Data!$KZ$2:$KZ$3,0)</f>
        <v>#REF!</v>
      </c>
      <c r="AY33" s="92" t="e">
        <f>INDEX(Data!$LA$2:$LD$3,'Panel Glide Blinds'!AX33,'Panel Glide Blinds'!AW33)</f>
        <v>#REF!</v>
      </c>
      <c r="BB33" s="92" t="e">
        <f>IF(#REF!=Data!$QK$2,Data!$QL$1,IF(#REF!=Data!$QK$3,Data!$QM$1,IF(#REF!=Data!$QK$4,Data!$QN$1,IF(#REF!=Data!$QK$5,Data!$QO$1,IF(#REF!=Data!$QK$6,Data!$QP$1,IF(#REF!=Data!$QK$7,Data!$QQ$1,IF(#REF!=Data!$QK$8,Data!$QR$1,IF(#REF!=Data!$QK$9,Data!$QS$1,IF(#REF!=Data!$QK$10,Data!$QT$1,IF(#REF!=Data!$QK$11,Data!$QU$1))))))))))</f>
        <v>#REF!</v>
      </c>
      <c r="BC33" s="33" t="e">
        <f>IF(#REF!=Data!$QK$2,Data!$QL$17,IF(#REF!=Data!$QK$3,Data!$QM$17,IF(#REF!=Data!$QK$4,Data!$QN$17,IF(#REF!=Data!$QK$5,Data!$QO$17,IF(#REF!=Data!$QK$6,Data!$QP$17,IF(#REF!=Data!$QK$7,Data!$QQ$17,IF(#REF!=Data!$QK$8,Data!$QR$17,IF(#REF!=Data!$QK$9,Data!$QS$17,IF(#REF!=Data!$QK$10,Data!$QT$17,IF(#REF!=Data!$QK$11,Data!$QU$17))))))))))</f>
        <v>#REF!</v>
      </c>
      <c r="BD33" s="33" t="e">
        <f>IF(#REF!=Data!$PU$2,Data!$PW$1,IF(#REF!=Data!$PU$3,Data!$PW$1,IF(#REF!=Data!$PU$4,Data!$PV$1,IF(#REF!=Data!$PU$5,Data!$PV$1,))))</f>
        <v>#REF!</v>
      </c>
      <c r="BE33" s="33" t="e">
        <f>MATCH('Panel Glide Blinds'!D33,Data!$YK$2:$YK$15)</f>
        <v>#N/A</v>
      </c>
      <c r="BF33" s="33" t="e">
        <f>MATCH(O33,Data!$YL$1:$YM$1)</f>
        <v>#N/A</v>
      </c>
      <c r="BG33" s="33" t="e">
        <f>INDEX(Data!$YL$2:$YM$15,BE33,BF33)</f>
        <v>#N/A</v>
      </c>
      <c r="BH33" s="33" t="b">
        <f>IF(O33=Data!$ZF$1,Data!$ZD$1,IF(O33=Data!$ZF$2,Data!$ZE$1))</f>
        <v>0</v>
      </c>
      <c r="BI33" s="33" t="e">
        <f>VLOOKUP(H33,Data!$ZL$2:$ZM$8,2,FALSE)</f>
        <v>#N/A</v>
      </c>
      <c r="BJ33" s="92" t="e">
        <f>VLOOKUP(H33,Data!$ZW$2:$ZX$9,2,FALSE)</f>
        <v>#N/A</v>
      </c>
      <c r="BK33" s="92" t="e">
        <f>VLOOKUP(H33,Data!$ZW$2:$ZY$8,3,FALSE)</f>
        <v>#N/A</v>
      </c>
      <c r="BL33" s="92" t="str">
        <f t="shared" si="0"/>
        <v/>
      </c>
      <c r="BM33" s="92" t="str">
        <f t="shared" si="1"/>
        <v/>
      </c>
      <c r="BN33" s="92" t="str">
        <f t="shared" si="4"/>
        <v/>
      </c>
      <c r="BO33" s="33" t="e">
        <f t="shared" si="5"/>
        <v>#DIV/0!</v>
      </c>
      <c r="BP33" s="33" t="e">
        <f t="shared" si="6"/>
        <v>#DIV/0!</v>
      </c>
      <c r="BQ33" s="33" t="e">
        <f t="shared" si="7"/>
        <v>#DIV/0!</v>
      </c>
      <c r="BR33" s="33" t="str">
        <f t="shared" si="8"/>
        <v/>
      </c>
    </row>
    <row r="34" spans="1:70" ht="30" customHeight="1" thickTop="1" thickBot="1">
      <c r="A34" s="53">
        <v>27</v>
      </c>
      <c r="B34" s="13"/>
      <c r="C34" s="13"/>
      <c r="D34" s="19"/>
      <c r="E34" s="15"/>
      <c r="F34" s="14"/>
      <c r="G34" s="14"/>
      <c r="H34" s="14"/>
      <c r="I34" s="13"/>
      <c r="J34" s="14"/>
      <c r="K34" s="14"/>
      <c r="L34" s="484"/>
      <c r="M34" s="485"/>
      <c r="N34" s="15"/>
      <c r="O34" s="15"/>
      <c r="P34" s="15"/>
      <c r="Q34" s="13"/>
      <c r="R34" s="13"/>
      <c r="S34" s="13"/>
      <c r="T34" s="555"/>
      <c r="U34" s="556"/>
      <c r="V34" s="236"/>
      <c r="W34" s="237"/>
      <c r="X34" s="284" t="e">
        <f t="shared" si="2"/>
        <v>#N/A</v>
      </c>
      <c r="Y34" s="284" t="e">
        <f>VLOOKUP(Q34,Data!$QH$2:$QI$4,2,FALSE)</f>
        <v>#N/A</v>
      </c>
      <c r="AA34" s="284" t="e">
        <f t="shared" si="3"/>
        <v>#N/A</v>
      </c>
      <c r="AD34" s="92" t="e">
        <f>IF(#REF!=Data!$KK$2,Data!$KM$1,IF(#REF!=Data!$KK$3,Data!$KN$1,IF(#REF!=Data!$KK$4,Data!$KP$1,IF(#REF!=Data!$KK$5,Data!$KQ$1))))</f>
        <v>#REF!</v>
      </c>
      <c r="AE34" s="33" t="str">
        <f>IF(D34=Data!$W$10,Data!$QJ$1,Data!$QK$1)</f>
        <v>RollerControl</v>
      </c>
      <c r="AH34" s="33" t="b">
        <f>IF(Q34=Data!$PX$2,Data!$PZ$1,IF(Q34=Data!$PX$3,Data!$PY$1,IF(Q34=Data!$PX$4,Data!$QA$1)))</f>
        <v>0</v>
      </c>
      <c r="AJ34" s="33" t="b">
        <f>IF(Q34=Data!$PX$3,Data!$QB$1,IF(Q34=Data!$PX$2,Data!$QC$1,IF(Q34=Data!$PX$4,Data!$QD$1)))</f>
        <v>0</v>
      </c>
      <c r="AL34" s="33" t="str">
        <f>IF(D34=Data!$W$3,Data!$QF$1,IF(D34=Data!$W$4,Data!$QF$1,IF(D34=Data!$W$5,Data!$QF$1,IF(D34=Data!$W$6,Data!$QF$1,IF(D34=Data!$W$7,Data!$QF$1,IF(D34=Data!$W$8,Data!$QF$1,IF(D34=Data!$W$9,Data!$QF$1,IF(D34=Data!$W$10,Data!$QE$1,IF(D34=Data!$W$11,Data!$QF$1,IF(D34=Data!$W$12,Data!$QF$1,IF(D34=Data!$W$13,Data!$QF$1,IF(D34=Data!$W$14,Data!$QF$1,IF(D34=Data!$W$15,Data!$QF$1,IF(D34=Data!$W$16,Data!$QF$1))))))))))))))</f>
        <v>RollerBracketType2</v>
      </c>
      <c r="AV34" s="40" t="e">
        <f>IF(AND(G34&lt;2130, OR(#REF!&lt;2100)),Data!$KS$1,Data!$KT$1)</f>
        <v>#REF!</v>
      </c>
      <c r="AW34" s="92" t="e">
        <f>MATCH(#REF!,Data!$LA$1:$LD$1,0)</f>
        <v>#REF!</v>
      </c>
      <c r="AX34" s="92" t="e">
        <f>MATCH('Panel Glide Blinds'!AV34,Data!$KZ$2:$KZ$3,0)</f>
        <v>#REF!</v>
      </c>
      <c r="AY34" s="92" t="e">
        <f>INDEX(Data!$LA$2:$LD$3,'Panel Glide Blinds'!AX34,'Panel Glide Blinds'!AW34)</f>
        <v>#REF!</v>
      </c>
      <c r="BB34" s="92" t="e">
        <f>IF(#REF!=Data!$QK$2,Data!$QL$1,IF(#REF!=Data!$QK$3,Data!$QM$1,IF(#REF!=Data!$QK$4,Data!$QN$1,IF(#REF!=Data!$QK$5,Data!$QO$1,IF(#REF!=Data!$QK$6,Data!$QP$1,IF(#REF!=Data!$QK$7,Data!$QQ$1,IF(#REF!=Data!$QK$8,Data!$QR$1,IF(#REF!=Data!$QK$9,Data!$QS$1,IF(#REF!=Data!$QK$10,Data!$QT$1,IF(#REF!=Data!$QK$11,Data!$QU$1))))))))))</f>
        <v>#REF!</v>
      </c>
      <c r="BC34" s="33" t="e">
        <f>IF(#REF!=Data!$QK$2,Data!$QL$17,IF(#REF!=Data!$QK$3,Data!$QM$17,IF(#REF!=Data!$QK$4,Data!$QN$17,IF(#REF!=Data!$QK$5,Data!$QO$17,IF(#REF!=Data!$QK$6,Data!$QP$17,IF(#REF!=Data!$QK$7,Data!$QQ$17,IF(#REF!=Data!$QK$8,Data!$QR$17,IF(#REF!=Data!$QK$9,Data!$QS$17,IF(#REF!=Data!$QK$10,Data!$QT$17,IF(#REF!=Data!$QK$11,Data!$QU$17))))))))))</f>
        <v>#REF!</v>
      </c>
      <c r="BD34" s="33" t="e">
        <f>IF(#REF!=Data!$PU$2,Data!$PW$1,IF(#REF!=Data!$PU$3,Data!$PW$1,IF(#REF!=Data!$PU$4,Data!$PV$1,IF(#REF!=Data!$PU$5,Data!$PV$1,))))</f>
        <v>#REF!</v>
      </c>
      <c r="BE34" s="33" t="e">
        <f>MATCH('Panel Glide Blinds'!D34,Data!$YK$2:$YK$15)</f>
        <v>#N/A</v>
      </c>
      <c r="BF34" s="33" t="e">
        <f>MATCH(O34,Data!$YL$1:$YM$1)</f>
        <v>#N/A</v>
      </c>
      <c r="BG34" s="33" t="e">
        <f>INDEX(Data!$YL$2:$YM$15,BE34,BF34)</f>
        <v>#N/A</v>
      </c>
      <c r="BH34" s="33" t="b">
        <f>IF(O34=Data!$ZF$1,Data!$ZD$1,IF(O34=Data!$ZF$2,Data!$ZE$1))</f>
        <v>0</v>
      </c>
      <c r="BI34" s="33" t="e">
        <f>VLOOKUP(H34,Data!$ZL$2:$ZM$8,2,FALSE)</f>
        <v>#N/A</v>
      </c>
      <c r="BJ34" s="92" t="e">
        <f>VLOOKUP(H34,Data!$ZW$2:$ZX$9,2,FALSE)</f>
        <v>#N/A</v>
      </c>
      <c r="BK34" s="92" t="e">
        <f>VLOOKUP(H34,Data!$ZW$2:$ZY$8,3,FALSE)</f>
        <v>#N/A</v>
      </c>
      <c r="BL34" s="92" t="str">
        <f t="shared" si="0"/>
        <v/>
      </c>
      <c r="BM34" s="92" t="str">
        <f t="shared" si="1"/>
        <v/>
      </c>
      <c r="BN34" s="92" t="str">
        <f t="shared" si="4"/>
        <v/>
      </c>
      <c r="BO34" s="33" t="e">
        <f t="shared" si="5"/>
        <v>#DIV/0!</v>
      </c>
      <c r="BP34" s="33" t="e">
        <f t="shared" si="6"/>
        <v>#DIV/0!</v>
      </c>
      <c r="BQ34" s="33" t="e">
        <f t="shared" si="7"/>
        <v>#DIV/0!</v>
      </c>
      <c r="BR34" s="33" t="str">
        <f t="shared" si="8"/>
        <v/>
      </c>
    </row>
    <row r="35" spans="1:70" ht="30" customHeight="1" thickTop="1" thickBot="1">
      <c r="A35" s="53">
        <v>28</v>
      </c>
      <c r="B35" s="13"/>
      <c r="C35" s="13"/>
      <c r="D35" s="19"/>
      <c r="E35" s="15"/>
      <c r="F35" s="14"/>
      <c r="G35" s="14"/>
      <c r="H35" s="14"/>
      <c r="I35" s="13"/>
      <c r="J35" s="14"/>
      <c r="K35" s="14"/>
      <c r="L35" s="484"/>
      <c r="M35" s="485"/>
      <c r="N35" s="15"/>
      <c r="O35" s="15"/>
      <c r="P35" s="15"/>
      <c r="Q35" s="13"/>
      <c r="R35" s="13"/>
      <c r="S35" s="13"/>
      <c r="T35" s="555"/>
      <c r="U35" s="556"/>
      <c r="V35" s="236"/>
      <c r="W35" s="237"/>
      <c r="X35" s="284" t="e">
        <f t="shared" si="2"/>
        <v>#N/A</v>
      </c>
      <c r="Y35" s="284" t="e">
        <f>VLOOKUP(Q35,Data!$QH$2:$QI$4,2,FALSE)</f>
        <v>#N/A</v>
      </c>
      <c r="AA35" s="284" t="e">
        <f t="shared" si="3"/>
        <v>#N/A</v>
      </c>
      <c r="AD35" s="92" t="e">
        <f>IF(#REF!=Data!$KK$2,Data!$KM$1,IF(#REF!=Data!$KK$3,Data!$KN$1,IF(#REF!=Data!$KK$4,Data!$KP$1,IF(#REF!=Data!$KK$5,Data!$KQ$1))))</f>
        <v>#REF!</v>
      </c>
      <c r="AE35" s="33" t="str">
        <f>IF(D35=Data!$W$10,Data!$QJ$1,Data!$QK$1)</f>
        <v>RollerControl</v>
      </c>
      <c r="AH35" s="33" t="b">
        <f>IF(Q35=Data!$PX$2,Data!$PZ$1,IF(Q35=Data!$PX$3,Data!$PY$1,IF(Q35=Data!$PX$4,Data!$QA$1)))</f>
        <v>0</v>
      </c>
      <c r="AJ35" s="33" t="b">
        <f>IF(Q35=Data!$PX$3,Data!$QB$1,IF(Q35=Data!$PX$2,Data!$QC$1,IF(Q35=Data!$PX$4,Data!$QD$1)))</f>
        <v>0</v>
      </c>
      <c r="AL35" s="33" t="str">
        <f>IF(D35=Data!$W$3,Data!$QF$1,IF(D35=Data!$W$4,Data!$QF$1,IF(D35=Data!$W$5,Data!$QF$1,IF(D35=Data!$W$6,Data!$QF$1,IF(D35=Data!$W$7,Data!$QF$1,IF(D35=Data!$W$8,Data!$QF$1,IF(D35=Data!$W$9,Data!$QF$1,IF(D35=Data!$W$10,Data!$QE$1,IF(D35=Data!$W$11,Data!$QF$1,IF(D35=Data!$W$12,Data!$QF$1,IF(D35=Data!$W$13,Data!$QF$1,IF(D35=Data!$W$14,Data!$QF$1,IF(D35=Data!$W$15,Data!$QF$1,IF(D35=Data!$W$16,Data!$QF$1))))))))))))))</f>
        <v>RollerBracketType2</v>
      </c>
      <c r="AV35" s="40" t="e">
        <f>IF(AND(G35&lt;2130, OR(#REF!&lt;2100)),Data!$KS$1,Data!$KT$1)</f>
        <v>#REF!</v>
      </c>
      <c r="AW35" s="92" t="e">
        <f>MATCH(#REF!,Data!$LA$1:$LD$1,0)</f>
        <v>#REF!</v>
      </c>
      <c r="AX35" s="92" t="e">
        <f>MATCH('Panel Glide Blinds'!AV35,Data!$KZ$2:$KZ$3,0)</f>
        <v>#REF!</v>
      </c>
      <c r="AY35" s="92" t="e">
        <f>INDEX(Data!$LA$2:$LD$3,'Panel Glide Blinds'!AX35,'Panel Glide Blinds'!AW35)</f>
        <v>#REF!</v>
      </c>
      <c r="BB35" s="92" t="e">
        <f>IF(#REF!=Data!$QK$2,Data!$QL$1,IF(#REF!=Data!$QK$3,Data!$QM$1,IF(#REF!=Data!$QK$4,Data!$QN$1,IF(#REF!=Data!$QK$5,Data!$QO$1,IF(#REF!=Data!$QK$6,Data!$QP$1,IF(#REF!=Data!$QK$7,Data!$QQ$1,IF(#REF!=Data!$QK$8,Data!$QR$1,IF(#REF!=Data!$QK$9,Data!$QS$1,IF(#REF!=Data!$QK$10,Data!$QT$1,IF(#REF!=Data!$QK$11,Data!$QU$1))))))))))</f>
        <v>#REF!</v>
      </c>
      <c r="BC35" s="33" t="e">
        <f>IF(#REF!=Data!$QK$2,Data!$QL$17,IF(#REF!=Data!$QK$3,Data!$QM$17,IF(#REF!=Data!$QK$4,Data!$QN$17,IF(#REF!=Data!$QK$5,Data!$QO$17,IF(#REF!=Data!$QK$6,Data!$QP$17,IF(#REF!=Data!$QK$7,Data!$QQ$17,IF(#REF!=Data!$QK$8,Data!$QR$17,IF(#REF!=Data!$QK$9,Data!$QS$17,IF(#REF!=Data!$QK$10,Data!$QT$17,IF(#REF!=Data!$QK$11,Data!$QU$17))))))))))</f>
        <v>#REF!</v>
      </c>
      <c r="BD35" s="33" t="e">
        <f>IF(#REF!=Data!$PU$2,Data!$PW$1,IF(#REF!=Data!$PU$3,Data!$PW$1,IF(#REF!=Data!$PU$4,Data!$PV$1,IF(#REF!=Data!$PU$5,Data!$PV$1,))))</f>
        <v>#REF!</v>
      </c>
      <c r="BE35" s="33" t="e">
        <f>MATCH('Panel Glide Blinds'!D35,Data!$YK$2:$YK$15)</f>
        <v>#N/A</v>
      </c>
      <c r="BF35" s="33" t="e">
        <f>MATCH(O35,Data!$YL$1:$YM$1)</f>
        <v>#N/A</v>
      </c>
      <c r="BG35" s="33" t="e">
        <f>INDEX(Data!$YL$2:$YM$15,BE35,BF35)</f>
        <v>#N/A</v>
      </c>
      <c r="BH35" s="33" t="b">
        <f>IF(O35=Data!$ZF$1,Data!$ZD$1,IF(O35=Data!$ZF$2,Data!$ZE$1))</f>
        <v>0</v>
      </c>
      <c r="BI35" s="33" t="e">
        <f>VLOOKUP(H35,Data!$ZL$2:$ZM$8,2,FALSE)</f>
        <v>#N/A</v>
      </c>
      <c r="BJ35" s="92" t="e">
        <f>VLOOKUP(H35,Data!$ZW$2:$ZX$9,2,FALSE)</f>
        <v>#N/A</v>
      </c>
      <c r="BK35" s="92" t="e">
        <f>VLOOKUP(H35,Data!$ZW$2:$ZY$8,3,FALSE)</f>
        <v>#N/A</v>
      </c>
      <c r="BL35" s="92" t="str">
        <f t="shared" si="0"/>
        <v/>
      </c>
      <c r="BM35" s="92" t="str">
        <f t="shared" si="1"/>
        <v/>
      </c>
      <c r="BN35" s="92" t="str">
        <f t="shared" si="4"/>
        <v/>
      </c>
      <c r="BO35" s="33" t="e">
        <f t="shared" si="5"/>
        <v>#DIV/0!</v>
      </c>
      <c r="BP35" s="33" t="e">
        <f t="shared" si="6"/>
        <v>#DIV/0!</v>
      </c>
      <c r="BQ35" s="33" t="e">
        <f t="shared" si="7"/>
        <v>#DIV/0!</v>
      </c>
      <c r="BR35" s="33" t="str">
        <f t="shared" si="8"/>
        <v/>
      </c>
    </row>
    <row r="36" spans="1:70" ht="30" customHeight="1" thickTop="1" thickBot="1">
      <c r="A36" s="53">
        <v>29</v>
      </c>
      <c r="B36" s="13"/>
      <c r="C36" s="13"/>
      <c r="D36" s="19"/>
      <c r="E36" s="15"/>
      <c r="F36" s="14"/>
      <c r="G36" s="14"/>
      <c r="H36" s="14"/>
      <c r="I36" s="13"/>
      <c r="J36" s="14"/>
      <c r="K36" s="14"/>
      <c r="L36" s="484"/>
      <c r="M36" s="485"/>
      <c r="N36" s="15"/>
      <c r="O36" s="15"/>
      <c r="P36" s="15"/>
      <c r="Q36" s="13"/>
      <c r="R36" s="13"/>
      <c r="S36" s="13"/>
      <c r="T36" s="555"/>
      <c r="U36" s="556"/>
      <c r="V36" s="236"/>
      <c r="W36" s="237"/>
      <c r="X36" s="284" t="e">
        <f t="shared" si="2"/>
        <v>#N/A</v>
      </c>
      <c r="Y36" s="284" t="e">
        <f>VLOOKUP(Q36,Data!$QH$2:$QI$4,2,FALSE)</f>
        <v>#N/A</v>
      </c>
      <c r="AA36" s="284" t="e">
        <f t="shared" si="3"/>
        <v>#N/A</v>
      </c>
      <c r="AD36" s="92" t="e">
        <f>IF(#REF!=Data!$KK$2,Data!$KM$1,IF(#REF!=Data!$KK$3,Data!$KN$1,IF(#REF!=Data!$KK$4,Data!$KP$1,IF(#REF!=Data!$KK$5,Data!$KQ$1))))</f>
        <v>#REF!</v>
      </c>
      <c r="AE36" s="33" t="str">
        <f>IF(D36=Data!$W$10,Data!$QJ$1,Data!$QK$1)</f>
        <v>RollerControl</v>
      </c>
      <c r="AH36" s="33" t="b">
        <f>IF(Q36=Data!$PX$2,Data!$PZ$1,IF(Q36=Data!$PX$3,Data!$PY$1,IF(Q36=Data!$PX$4,Data!$QA$1)))</f>
        <v>0</v>
      </c>
      <c r="AJ36" s="33" t="b">
        <f>IF(Q36=Data!$PX$3,Data!$QB$1,IF(Q36=Data!$PX$2,Data!$QC$1,IF(Q36=Data!$PX$4,Data!$QD$1)))</f>
        <v>0</v>
      </c>
      <c r="AL36" s="33" t="str">
        <f>IF(D36=Data!$W$3,Data!$QF$1,IF(D36=Data!$W$4,Data!$QF$1,IF(D36=Data!$W$5,Data!$QF$1,IF(D36=Data!$W$6,Data!$QF$1,IF(D36=Data!$W$7,Data!$QF$1,IF(D36=Data!$W$8,Data!$QF$1,IF(D36=Data!$W$9,Data!$QF$1,IF(D36=Data!$W$10,Data!$QE$1,IF(D36=Data!$W$11,Data!$QF$1,IF(D36=Data!$W$12,Data!$QF$1,IF(D36=Data!$W$13,Data!$QF$1,IF(D36=Data!$W$14,Data!$QF$1,IF(D36=Data!$W$15,Data!$QF$1,IF(D36=Data!$W$16,Data!$QF$1))))))))))))))</f>
        <v>RollerBracketType2</v>
      </c>
      <c r="AV36" s="40" t="e">
        <f>IF(AND(G36&lt;2130, OR(#REF!&lt;2100)),Data!$KS$1,Data!$KT$1)</f>
        <v>#REF!</v>
      </c>
      <c r="AW36" s="92" t="e">
        <f>MATCH(#REF!,Data!$LA$1:$LD$1,0)</f>
        <v>#REF!</v>
      </c>
      <c r="AX36" s="92" t="e">
        <f>MATCH('Panel Glide Blinds'!AV36,Data!$KZ$2:$KZ$3,0)</f>
        <v>#REF!</v>
      </c>
      <c r="AY36" s="92" t="e">
        <f>INDEX(Data!$LA$2:$LD$3,'Panel Glide Blinds'!AX36,'Panel Glide Blinds'!AW36)</f>
        <v>#REF!</v>
      </c>
      <c r="BB36" s="92" t="e">
        <f>IF(#REF!=Data!$QK$2,Data!$QL$1,IF(#REF!=Data!$QK$3,Data!$QM$1,IF(#REF!=Data!$QK$4,Data!$QN$1,IF(#REF!=Data!$QK$5,Data!$QO$1,IF(#REF!=Data!$QK$6,Data!$QP$1,IF(#REF!=Data!$QK$7,Data!$QQ$1,IF(#REF!=Data!$QK$8,Data!$QR$1,IF(#REF!=Data!$QK$9,Data!$QS$1,IF(#REF!=Data!$QK$10,Data!$QT$1,IF(#REF!=Data!$QK$11,Data!$QU$1))))))))))</f>
        <v>#REF!</v>
      </c>
      <c r="BC36" s="33" t="e">
        <f>IF(#REF!=Data!$QK$2,Data!$QL$17,IF(#REF!=Data!$QK$3,Data!$QM$17,IF(#REF!=Data!$QK$4,Data!$QN$17,IF(#REF!=Data!$QK$5,Data!$QO$17,IF(#REF!=Data!$QK$6,Data!$QP$17,IF(#REF!=Data!$QK$7,Data!$QQ$17,IF(#REF!=Data!$QK$8,Data!$QR$17,IF(#REF!=Data!$QK$9,Data!$QS$17,IF(#REF!=Data!$QK$10,Data!$QT$17,IF(#REF!=Data!$QK$11,Data!$QU$17))))))))))</f>
        <v>#REF!</v>
      </c>
      <c r="BD36" s="33" t="e">
        <f>IF(#REF!=Data!$PU$2,Data!$PW$1,IF(#REF!=Data!$PU$3,Data!$PW$1,IF(#REF!=Data!$PU$4,Data!$PV$1,IF(#REF!=Data!$PU$5,Data!$PV$1,))))</f>
        <v>#REF!</v>
      </c>
      <c r="BE36" s="33" t="e">
        <f>MATCH('Panel Glide Blinds'!D36,Data!$YK$2:$YK$15)</f>
        <v>#N/A</v>
      </c>
      <c r="BF36" s="33" t="e">
        <f>MATCH(O36,Data!$YL$1:$YM$1)</f>
        <v>#N/A</v>
      </c>
      <c r="BG36" s="33" t="e">
        <f>INDEX(Data!$YL$2:$YM$15,BE36,BF36)</f>
        <v>#N/A</v>
      </c>
      <c r="BH36" s="33" t="b">
        <f>IF(O36=Data!$ZF$1,Data!$ZD$1,IF(O36=Data!$ZF$2,Data!$ZE$1))</f>
        <v>0</v>
      </c>
      <c r="BI36" s="33" t="e">
        <f>VLOOKUP(H36,Data!$ZL$2:$ZM$8,2,FALSE)</f>
        <v>#N/A</v>
      </c>
      <c r="BJ36" s="92" t="e">
        <f>VLOOKUP(H36,Data!$ZW$2:$ZX$9,2,FALSE)</f>
        <v>#N/A</v>
      </c>
      <c r="BK36" s="92" t="e">
        <f>VLOOKUP(H36,Data!$ZW$2:$ZY$8,3,FALSE)</f>
        <v>#N/A</v>
      </c>
      <c r="BL36" s="92" t="str">
        <f t="shared" si="0"/>
        <v/>
      </c>
      <c r="BM36" s="92" t="str">
        <f t="shared" si="1"/>
        <v/>
      </c>
      <c r="BN36" s="92" t="str">
        <f t="shared" si="4"/>
        <v/>
      </c>
      <c r="BO36" s="33" t="e">
        <f t="shared" si="5"/>
        <v>#DIV/0!</v>
      </c>
      <c r="BP36" s="33" t="e">
        <f t="shared" si="6"/>
        <v>#DIV/0!</v>
      </c>
      <c r="BQ36" s="33" t="e">
        <f t="shared" si="7"/>
        <v>#DIV/0!</v>
      </c>
      <c r="BR36" s="33" t="str">
        <f t="shared" si="8"/>
        <v/>
      </c>
    </row>
    <row r="37" spans="1:70" ht="30" customHeight="1" thickTop="1" thickBot="1">
      <c r="A37" s="53">
        <v>30</v>
      </c>
      <c r="B37" s="13"/>
      <c r="C37" s="13"/>
      <c r="D37" s="19"/>
      <c r="E37" s="15"/>
      <c r="F37" s="14"/>
      <c r="G37" s="14"/>
      <c r="H37" s="14"/>
      <c r="I37" s="13"/>
      <c r="J37" s="14"/>
      <c r="K37" s="14"/>
      <c r="L37" s="484"/>
      <c r="M37" s="485"/>
      <c r="N37" s="15"/>
      <c r="O37" s="15"/>
      <c r="P37" s="15"/>
      <c r="Q37" s="13"/>
      <c r="R37" s="13"/>
      <c r="S37" s="13"/>
      <c r="T37" s="555"/>
      <c r="U37" s="556"/>
      <c r="V37" s="236"/>
      <c r="W37" s="237"/>
      <c r="X37" s="284" t="e">
        <f t="shared" si="2"/>
        <v>#N/A</v>
      </c>
      <c r="Y37" s="284" t="e">
        <f>VLOOKUP(Q37,Data!$QH$2:$QI$4,2,FALSE)</f>
        <v>#N/A</v>
      </c>
      <c r="AA37" s="284" t="e">
        <f t="shared" si="3"/>
        <v>#N/A</v>
      </c>
      <c r="AD37" s="92" t="e">
        <f>IF(#REF!=Data!$KK$2,Data!$KM$1,IF(#REF!=Data!$KK$3,Data!$KN$1,IF(#REF!=Data!$KK$4,Data!$KP$1,IF(#REF!=Data!$KK$5,Data!$KQ$1))))</f>
        <v>#REF!</v>
      </c>
      <c r="AE37" s="33" t="str">
        <f>IF(D37=Data!$W$10,Data!$QJ$1,Data!$QK$1)</f>
        <v>RollerControl</v>
      </c>
      <c r="AH37" s="33" t="b">
        <f>IF(Q37=Data!$PX$2,Data!$PZ$1,IF(Q37=Data!$PX$3,Data!$PY$1,IF(Q37=Data!$PX$4,Data!$QA$1)))</f>
        <v>0</v>
      </c>
      <c r="AJ37" s="33" t="b">
        <f>IF(Q37=Data!$PX$3,Data!$QB$1,IF(Q37=Data!$PX$2,Data!$QC$1,IF(Q37=Data!$PX$4,Data!$QD$1)))</f>
        <v>0</v>
      </c>
      <c r="AL37" s="33" t="str">
        <f>IF(D37=Data!$W$3,Data!$QF$1,IF(D37=Data!$W$4,Data!$QF$1,IF(D37=Data!$W$5,Data!$QF$1,IF(D37=Data!$W$6,Data!$QF$1,IF(D37=Data!$W$7,Data!$QF$1,IF(D37=Data!$W$8,Data!$QF$1,IF(D37=Data!$W$9,Data!$QF$1,IF(D37=Data!$W$10,Data!$QE$1,IF(D37=Data!$W$11,Data!$QF$1,IF(D37=Data!$W$12,Data!$QF$1,IF(D37=Data!$W$13,Data!$QF$1,IF(D37=Data!$W$14,Data!$QF$1,IF(D37=Data!$W$15,Data!$QF$1,IF(D37=Data!$W$16,Data!$QF$1))))))))))))))</f>
        <v>RollerBracketType2</v>
      </c>
      <c r="AV37" s="40" t="e">
        <f>IF(AND(G37&lt;2130, OR(#REF!&lt;2100)),Data!$KS$1,Data!$KT$1)</f>
        <v>#REF!</v>
      </c>
      <c r="AW37" s="92" t="e">
        <f>MATCH(#REF!,Data!$LA$1:$LD$1,0)</f>
        <v>#REF!</v>
      </c>
      <c r="AX37" s="92" t="e">
        <f>MATCH('Panel Glide Blinds'!AV37,Data!$KZ$2:$KZ$3,0)</f>
        <v>#REF!</v>
      </c>
      <c r="AY37" s="92" t="e">
        <f>INDEX(Data!$LA$2:$LD$3,'Panel Glide Blinds'!AX37,'Panel Glide Blinds'!AW37)</f>
        <v>#REF!</v>
      </c>
      <c r="BB37" s="92" t="e">
        <f>IF(#REF!=Data!$QK$2,Data!$QL$1,IF(#REF!=Data!$QK$3,Data!$QM$1,IF(#REF!=Data!$QK$4,Data!$QN$1,IF(#REF!=Data!$QK$5,Data!$QO$1,IF(#REF!=Data!$QK$6,Data!$QP$1,IF(#REF!=Data!$QK$7,Data!$QQ$1,IF(#REF!=Data!$QK$8,Data!$QR$1,IF(#REF!=Data!$QK$9,Data!$QS$1,IF(#REF!=Data!$QK$10,Data!$QT$1,IF(#REF!=Data!$QK$11,Data!$QU$1))))))))))</f>
        <v>#REF!</v>
      </c>
      <c r="BC37" s="33" t="e">
        <f>IF(#REF!=Data!$QK$2,Data!$QL$17,IF(#REF!=Data!$QK$3,Data!$QM$17,IF(#REF!=Data!$QK$4,Data!$QN$17,IF(#REF!=Data!$QK$5,Data!$QO$17,IF(#REF!=Data!$QK$6,Data!$QP$17,IF(#REF!=Data!$QK$7,Data!$QQ$17,IF(#REF!=Data!$QK$8,Data!$QR$17,IF(#REF!=Data!$QK$9,Data!$QS$17,IF(#REF!=Data!$QK$10,Data!$QT$17,IF(#REF!=Data!$QK$11,Data!$QU$17))))))))))</f>
        <v>#REF!</v>
      </c>
      <c r="BD37" s="33" t="e">
        <f>IF(#REF!=Data!$PU$2,Data!$PW$1,IF(#REF!=Data!$PU$3,Data!$PW$1,IF(#REF!=Data!$PU$4,Data!$PV$1,IF(#REF!=Data!$PU$5,Data!$PV$1,))))</f>
        <v>#REF!</v>
      </c>
      <c r="BE37" s="33" t="e">
        <f>MATCH('Panel Glide Blinds'!D37,Data!$YK$2:$YK$15)</f>
        <v>#N/A</v>
      </c>
      <c r="BF37" s="33" t="e">
        <f>MATCH(O37,Data!$YL$1:$YM$1)</f>
        <v>#N/A</v>
      </c>
      <c r="BG37" s="33" t="e">
        <f>INDEX(Data!$YL$2:$YM$15,BE37,BF37)</f>
        <v>#N/A</v>
      </c>
      <c r="BH37" s="33" t="b">
        <f>IF(O37=Data!$ZF$1,Data!$ZD$1,IF(O37=Data!$ZF$2,Data!$ZE$1))</f>
        <v>0</v>
      </c>
      <c r="BI37" s="33" t="e">
        <f>VLOOKUP(H37,Data!$ZL$2:$ZM$8,2,FALSE)</f>
        <v>#N/A</v>
      </c>
      <c r="BJ37" s="92" t="e">
        <f>VLOOKUP(H37,Data!$ZW$2:$ZX$9,2,FALSE)</f>
        <v>#N/A</v>
      </c>
      <c r="BK37" s="92" t="e">
        <f>VLOOKUP(H37,Data!$ZW$2:$ZY$8,3,FALSE)</f>
        <v>#N/A</v>
      </c>
      <c r="BL37" s="92" t="str">
        <f t="shared" si="0"/>
        <v/>
      </c>
      <c r="BM37" s="92" t="str">
        <f t="shared" si="1"/>
        <v/>
      </c>
      <c r="BN37" s="92" t="str">
        <f t="shared" si="4"/>
        <v/>
      </c>
      <c r="BO37" s="33" t="e">
        <f t="shared" si="5"/>
        <v>#DIV/0!</v>
      </c>
      <c r="BP37" s="33" t="e">
        <f t="shared" si="6"/>
        <v>#DIV/0!</v>
      </c>
      <c r="BQ37" s="33" t="e">
        <f t="shared" si="7"/>
        <v>#DIV/0!</v>
      </c>
      <c r="BR37" s="33" t="str">
        <f t="shared" si="8"/>
        <v/>
      </c>
    </row>
    <row r="38" spans="1:70" ht="30" customHeight="1" thickTop="1" thickBot="1">
      <c r="A38" s="53">
        <v>31</v>
      </c>
      <c r="B38" s="13"/>
      <c r="C38" s="13"/>
      <c r="D38" s="19"/>
      <c r="E38" s="15"/>
      <c r="F38" s="14"/>
      <c r="G38" s="14"/>
      <c r="H38" s="14"/>
      <c r="I38" s="13"/>
      <c r="J38" s="14"/>
      <c r="K38" s="14"/>
      <c r="L38" s="484"/>
      <c r="M38" s="485"/>
      <c r="N38" s="15"/>
      <c r="O38" s="15"/>
      <c r="P38" s="15"/>
      <c r="Q38" s="13"/>
      <c r="R38" s="13"/>
      <c r="S38" s="13"/>
      <c r="T38" s="555"/>
      <c r="U38" s="556"/>
      <c r="V38" s="236"/>
      <c r="W38" s="237"/>
      <c r="X38" s="284" t="e">
        <f t="shared" si="2"/>
        <v>#N/A</v>
      </c>
      <c r="Y38" s="284" t="e">
        <f>VLOOKUP(Q38,Data!$QH$2:$QI$4,2,FALSE)</f>
        <v>#N/A</v>
      </c>
      <c r="AA38" s="284" t="e">
        <f t="shared" si="3"/>
        <v>#N/A</v>
      </c>
      <c r="AD38" s="92" t="e">
        <f>IF(#REF!=Data!$KK$2,Data!$KM$1,IF(#REF!=Data!$KK$3,Data!$KN$1,IF(#REF!=Data!$KK$4,Data!$KP$1,IF(#REF!=Data!$KK$5,Data!$KQ$1))))</f>
        <v>#REF!</v>
      </c>
      <c r="AE38" s="33" t="str">
        <f>IF(D38=Data!$W$10,Data!$QJ$1,Data!$QK$1)</f>
        <v>RollerControl</v>
      </c>
      <c r="AH38" s="33" t="b">
        <f>IF(Q38=Data!$PX$2,Data!$PZ$1,IF(Q38=Data!$PX$3,Data!$PY$1,IF(Q38=Data!$PX$4,Data!$QA$1)))</f>
        <v>0</v>
      </c>
      <c r="AJ38" s="33" t="b">
        <f>IF(Q38=Data!$PX$3,Data!$QB$1,IF(Q38=Data!$PX$2,Data!$QC$1,IF(Q38=Data!$PX$4,Data!$QD$1)))</f>
        <v>0</v>
      </c>
      <c r="AL38" s="33" t="str">
        <f>IF(D38=Data!$W$3,Data!$QF$1,IF(D38=Data!$W$4,Data!$QF$1,IF(D38=Data!$W$5,Data!$QF$1,IF(D38=Data!$W$6,Data!$QF$1,IF(D38=Data!$W$7,Data!$QF$1,IF(D38=Data!$W$8,Data!$QF$1,IF(D38=Data!$W$9,Data!$QF$1,IF(D38=Data!$W$10,Data!$QE$1,IF(D38=Data!$W$11,Data!$QF$1,IF(D38=Data!$W$12,Data!$QF$1,IF(D38=Data!$W$13,Data!$QF$1,IF(D38=Data!$W$14,Data!$QF$1,IF(D38=Data!$W$15,Data!$QF$1,IF(D38=Data!$W$16,Data!$QF$1))))))))))))))</f>
        <v>RollerBracketType2</v>
      </c>
      <c r="AV38" s="40" t="e">
        <f>IF(AND(G38&lt;2130, OR(#REF!&lt;2100)),Data!$KS$1,Data!$KT$1)</f>
        <v>#REF!</v>
      </c>
      <c r="AW38" s="92" t="e">
        <f>MATCH(#REF!,Data!$LA$1:$LD$1,0)</f>
        <v>#REF!</v>
      </c>
      <c r="AX38" s="92" t="e">
        <f>MATCH('Panel Glide Blinds'!AV38,Data!$KZ$2:$KZ$3,0)</f>
        <v>#REF!</v>
      </c>
      <c r="AY38" s="92" t="e">
        <f>INDEX(Data!$LA$2:$LD$3,'Panel Glide Blinds'!AX38,'Panel Glide Blinds'!AW38)</f>
        <v>#REF!</v>
      </c>
      <c r="BB38" s="92" t="e">
        <f>IF(#REF!=Data!$QK$2,Data!$QL$1,IF(#REF!=Data!$QK$3,Data!$QM$1,IF(#REF!=Data!$QK$4,Data!$QN$1,IF(#REF!=Data!$QK$5,Data!$QO$1,IF(#REF!=Data!$QK$6,Data!$QP$1,IF(#REF!=Data!$QK$7,Data!$QQ$1,IF(#REF!=Data!$QK$8,Data!$QR$1,IF(#REF!=Data!$QK$9,Data!$QS$1,IF(#REF!=Data!$QK$10,Data!$QT$1,IF(#REF!=Data!$QK$11,Data!$QU$1))))))))))</f>
        <v>#REF!</v>
      </c>
      <c r="BC38" s="33" t="e">
        <f>IF(#REF!=Data!$QK$2,Data!$QL$17,IF(#REF!=Data!$QK$3,Data!$QM$17,IF(#REF!=Data!$QK$4,Data!$QN$17,IF(#REF!=Data!$QK$5,Data!$QO$17,IF(#REF!=Data!$QK$6,Data!$QP$17,IF(#REF!=Data!$QK$7,Data!$QQ$17,IF(#REF!=Data!$QK$8,Data!$QR$17,IF(#REF!=Data!$QK$9,Data!$QS$17,IF(#REF!=Data!$QK$10,Data!$QT$17,IF(#REF!=Data!$QK$11,Data!$QU$17))))))))))</f>
        <v>#REF!</v>
      </c>
      <c r="BD38" s="33" t="e">
        <f>IF(#REF!=Data!$PU$2,Data!$PW$1,IF(#REF!=Data!$PU$3,Data!$PW$1,IF(#REF!=Data!$PU$4,Data!$PV$1,IF(#REF!=Data!$PU$5,Data!$PV$1,))))</f>
        <v>#REF!</v>
      </c>
      <c r="BE38" s="33" t="e">
        <f>MATCH('Panel Glide Blinds'!D38,Data!$YK$2:$YK$15)</f>
        <v>#N/A</v>
      </c>
      <c r="BF38" s="33" t="e">
        <f>MATCH(O38,Data!$YL$1:$YM$1)</f>
        <v>#N/A</v>
      </c>
      <c r="BG38" s="33" t="e">
        <f>INDEX(Data!$YL$2:$YM$15,BE38,BF38)</f>
        <v>#N/A</v>
      </c>
      <c r="BH38" s="33" t="b">
        <f>IF(O38=Data!$ZF$1,Data!$ZD$1,IF(O38=Data!$ZF$2,Data!$ZE$1))</f>
        <v>0</v>
      </c>
      <c r="BI38" s="33" t="e">
        <f>VLOOKUP(H38,Data!$ZL$2:$ZM$8,2,FALSE)</f>
        <v>#N/A</v>
      </c>
      <c r="BJ38" s="92" t="e">
        <f>VLOOKUP(H38,Data!$ZW$2:$ZX$9,2,FALSE)</f>
        <v>#N/A</v>
      </c>
      <c r="BK38" s="92" t="e">
        <f>VLOOKUP(H38,Data!$ZW$2:$ZY$8,3,FALSE)</f>
        <v>#N/A</v>
      </c>
      <c r="BL38" s="92" t="str">
        <f t="shared" si="0"/>
        <v/>
      </c>
      <c r="BM38" s="92" t="str">
        <f t="shared" si="1"/>
        <v/>
      </c>
      <c r="BN38" s="92" t="str">
        <f t="shared" si="4"/>
        <v/>
      </c>
      <c r="BO38" s="33" t="e">
        <f t="shared" si="5"/>
        <v>#DIV/0!</v>
      </c>
      <c r="BP38" s="33" t="e">
        <f t="shared" si="6"/>
        <v>#DIV/0!</v>
      </c>
      <c r="BQ38" s="33" t="e">
        <f t="shared" si="7"/>
        <v>#DIV/0!</v>
      </c>
      <c r="BR38" s="33" t="str">
        <f t="shared" si="8"/>
        <v/>
      </c>
    </row>
    <row r="39" spans="1:70" ht="30" customHeight="1" thickTop="1" thickBot="1">
      <c r="A39" s="53">
        <v>32</v>
      </c>
      <c r="B39" s="13"/>
      <c r="C39" s="13"/>
      <c r="D39" s="19"/>
      <c r="E39" s="15"/>
      <c r="F39" s="14"/>
      <c r="G39" s="14"/>
      <c r="H39" s="14"/>
      <c r="I39" s="13"/>
      <c r="J39" s="14"/>
      <c r="K39" s="14"/>
      <c r="L39" s="484"/>
      <c r="M39" s="485"/>
      <c r="N39" s="15"/>
      <c r="O39" s="15"/>
      <c r="P39" s="15"/>
      <c r="Q39" s="13"/>
      <c r="R39" s="13"/>
      <c r="S39" s="13"/>
      <c r="T39" s="555"/>
      <c r="U39" s="556"/>
      <c r="V39" s="236"/>
      <c r="W39" s="237"/>
      <c r="X39" s="284" t="e">
        <f t="shared" si="2"/>
        <v>#N/A</v>
      </c>
      <c r="Y39" s="284" t="e">
        <f>VLOOKUP(Q39,Data!$QH$2:$QI$4,2,FALSE)</f>
        <v>#N/A</v>
      </c>
      <c r="AA39" s="284" t="e">
        <f t="shared" si="3"/>
        <v>#N/A</v>
      </c>
      <c r="AD39" s="92" t="e">
        <f>IF(#REF!=Data!$KK$2,Data!$KM$1,IF(#REF!=Data!$KK$3,Data!$KN$1,IF(#REF!=Data!$KK$4,Data!$KP$1,IF(#REF!=Data!$KK$5,Data!$KQ$1))))</f>
        <v>#REF!</v>
      </c>
      <c r="AE39" s="33" t="str">
        <f>IF(D39=Data!$W$10,Data!$QJ$1,Data!$QK$1)</f>
        <v>RollerControl</v>
      </c>
      <c r="AH39" s="33" t="b">
        <f>IF(Q39=Data!$PX$2,Data!$PZ$1,IF(Q39=Data!$PX$3,Data!$PY$1,IF(Q39=Data!$PX$4,Data!$QA$1)))</f>
        <v>0</v>
      </c>
      <c r="AJ39" s="33" t="b">
        <f>IF(Q39=Data!$PX$3,Data!$QB$1,IF(Q39=Data!$PX$2,Data!$QC$1,IF(Q39=Data!$PX$4,Data!$QD$1)))</f>
        <v>0</v>
      </c>
      <c r="AL39" s="33" t="str">
        <f>IF(D39=Data!$W$3,Data!$QF$1,IF(D39=Data!$W$4,Data!$QF$1,IF(D39=Data!$W$5,Data!$QF$1,IF(D39=Data!$W$6,Data!$QF$1,IF(D39=Data!$W$7,Data!$QF$1,IF(D39=Data!$W$8,Data!$QF$1,IF(D39=Data!$W$9,Data!$QF$1,IF(D39=Data!$W$10,Data!$QE$1,IF(D39=Data!$W$11,Data!$QF$1,IF(D39=Data!$W$12,Data!$QF$1,IF(D39=Data!$W$13,Data!$QF$1,IF(D39=Data!$W$14,Data!$QF$1,IF(D39=Data!$W$15,Data!$QF$1,IF(D39=Data!$W$16,Data!$QF$1))))))))))))))</f>
        <v>RollerBracketType2</v>
      </c>
      <c r="AV39" s="40" t="e">
        <f>IF(AND(G39&lt;2130, OR(#REF!&lt;2100)),Data!$KS$1,Data!$KT$1)</f>
        <v>#REF!</v>
      </c>
      <c r="AW39" s="92" t="e">
        <f>MATCH(#REF!,Data!$LA$1:$LD$1,0)</f>
        <v>#REF!</v>
      </c>
      <c r="AX39" s="92" t="e">
        <f>MATCH('Panel Glide Blinds'!AV39,Data!$KZ$2:$KZ$3,0)</f>
        <v>#REF!</v>
      </c>
      <c r="AY39" s="92" t="e">
        <f>INDEX(Data!$LA$2:$LD$3,'Panel Glide Blinds'!AX39,'Panel Glide Blinds'!AW39)</f>
        <v>#REF!</v>
      </c>
      <c r="BB39" s="92" t="e">
        <f>IF(#REF!=Data!$QK$2,Data!$QL$1,IF(#REF!=Data!$QK$3,Data!$QM$1,IF(#REF!=Data!$QK$4,Data!$QN$1,IF(#REF!=Data!$QK$5,Data!$QO$1,IF(#REF!=Data!$QK$6,Data!$QP$1,IF(#REF!=Data!$QK$7,Data!$QQ$1,IF(#REF!=Data!$QK$8,Data!$QR$1,IF(#REF!=Data!$QK$9,Data!$QS$1,IF(#REF!=Data!$QK$10,Data!$QT$1,IF(#REF!=Data!$QK$11,Data!$QU$1))))))))))</f>
        <v>#REF!</v>
      </c>
      <c r="BC39" s="33" t="e">
        <f>IF(#REF!=Data!$QK$2,Data!$QL$17,IF(#REF!=Data!$QK$3,Data!$QM$17,IF(#REF!=Data!$QK$4,Data!$QN$17,IF(#REF!=Data!$QK$5,Data!$QO$17,IF(#REF!=Data!$QK$6,Data!$QP$17,IF(#REF!=Data!$QK$7,Data!$QQ$17,IF(#REF!=Data!$QK$8,Data!$QR$17,IF(#REF!=Data!$QK$9,Data!$QS$17,IF(#REF!=Data!$QK$10,Data!$QT$17,IF(#REF!=Data!$QK$11,Data!$QU$17))))))))))</f>
        <v>#REF!</v>
      </c>
      <c r="BD39" s="33" t="e">
        <f>IF(#REF!=Data!$PU$2,Data!$PW$1,IF(#REF!=Data!$PU$3,Data!$PW$1,IF(#REF!=Data!$PU$4,Data!$PV$1,IF(#REF!=Data!$PU$5,Data!$PV$1,))))</f>
        <v>#REF!</v>
      </c>
      <c r="BE39" s="33" t="e">
        <f>MATCH('Panel Glide Blinds'!D39,Data!$YK$2:$YK$15)</f>
        <v>#N/A</v>
      </c>
      <c r="BF39" s="33" t="e">
        <f>MATCH(O39,Data!$YL$1:$YM$1)</f>
        <v>#N/A</v>
      </c>
      <c r="BG39" s="33" t="e">
        <f>INDEX(Data!$YL$2:$YM$15,BE39,BF39)</f>
        <v>#N/A</v>
      </c>
      <c r="BH39" s="33" t="b">
        <f>IF(O39=Data!$ZF$1,Data!$ZD$1,IF(O39=Data!$ZF$2,Data!$ZE$1))</f>
        <v>0</v>
      </c>
      <c r="BI39" s="33" t="e">
        <f>VLOOKUP(H39,Data!$ZL$2:$ZM$8,2,FALSE)</f>
        <v>#N/A</v>
      </c>
      <c r="BJ39" s="92" t="e">
        <f>VLOOKUP(H39,Data!$ZW$2:$ZX$9,2,FALSE)</f>
        <v>#N/A</v>
      </c>
      <c r="BK39" s="92" t="e">
        <f>VLOOKUP(H39,Data!$ZW$2:$ZY$8,3,FALSE)</f>
        <v>#N/A</v>
      </c>
      <c r="BL39" s="92" t="str">
        <f t="shared" si="0"/>
        <v/>
      </c>
      <c r="BM39" s="92" t="str">
        <f t="shared" si="1"/>
        <v/>
      </c>
      <c r="BN39" s="92" t="str">
        <f t="shared" si="4"/>
        <v/>
      </c>
      <c r="BO39" s="33" t="e">
        <f t="shared" si="5"/>
        <v>#DIV/0!</v>
      </c>
      <c r="BP39" s="33" t="e">
        <f t="shared" si="6"/>
        <v>#DIV/0!</v>
      </c>
      <c r="BQ39" s="33" t="e">
        <f t="shared" si="7"/>
        <v>#DIV/0!</v>
      </c>
      <c r="BR39" s="33" t="str">
        <f t="shared" si="8"/>
        <v/>
      </c>
    </row>
    <row r="40" spans="1:70" ht="30" customHeight="1" thickTop="1" thickBot="1">
      <c r="A40" s="53">
        <v>33</v>
      </c>
      <c r="B40" s="13"/>
      <c r="C40" s="13"/>
      <c r="D40" s="19"/>
      <c r="E40" s="15"/>
      <c r="F40" s="14"/>
      <c r="G40" s="14"/>
      <c r="H40" s="14"/>
      <c r="I40" s="13"/>
      <c r="J40" s="14"/>
      <c r="K40" s="14"/>
      <c r="L40" s="484"/>
      <c r="M40" s="485"/>
      <c r="N40" s="15"/>
      <c r="O40" s="15"/>
      <c r="P40" s="15"/>
      <c r="Q40" s="13"/>
      <c r="R40" s="13"/>
      <c r="S40" s="13"/>
      <c r="T40" s="555"/>
      <c r="U40" s="556"/>
      <c r="V40" s="236"/>
      <c r="W40" s="237"/>
      <c r="X40" s="284" t="e">
        <f t="shared" si="2"/>
        <v>#N/A</v>
      </c>
      <c r="Y40" s="284" t="e">
        <f>VLOOKUP(Q40,Data!$QH$2:$QI$4,2,FALSE)</f>
        <v>#N/A</v>
      </c>
      <c r="AA40" s="284" t="e">
        <f t="shared" si="3"/>
        <v>#N/A</v>
      </c>
      <c r="AD40" s="92" t="e">
        <f>IF(#REF!=Data!$KK$2,Data!$KM$1,IF(#REF!=Data!$KK$3,Data!$KN$1,IF(#REF!=Data!$KK$4,Data!$KP$1,IF(#REF!=Data!$KK$5,Data!$KQ$1))))</f>
        <v>#REF!</v>
      </c>
      <c r="AE40" s="33" t="str">
        <f>IF(D40=Data!$W$10,Data!$QJ$1,Data!$QK$1)</f>
        <v>RollerControl</v>
      </c>
      <c r="AH40" s="33" t="b">
        <f>IF(Q40=Data!$PX$2,Data!$PZ$1,IF(Q40=Data!$PX$3,Data!$PY$1,IF(Q40=Data!$PX$4,Data!$QA$1)))</f>
        <v>0</v>
      </c>
      <c r="AJ40" s="33" t="b">
        <f>IF(Q40=Data!$PX$3,Data!$QB$1,IF(Q40=Data!$PX$2,Data!$QC$1,IF(Q40=Data!$PX$4,Data!$QD$1)))</f>
        <v>0</v>
      </c>
      <c r="AL40" s="33" t="str">
        <f>IF(D40=Data!$W$3,Data!$QF$1,IF(D40=Data!$W$4,Data!$QF$1,IF(D40=Data!$W$5,Data!$QF$1,IF(D40=Data!$W$6,Data!$QF$1,IF(D40=Data!$W$7,Data!$QF$1,IF(D40=Data!$W$8,Data!$QF$1,IF(D40=Data!$W$9,Data!$QF$1,IF(D40=Data!$W$10,Data!$QE$1,IF(D40=Data!$W$11,Data!$QF$1,IF(D40=Data!$W$12,Data!$QF$1,IF(D40=Data!$W$13,Data!$QF$1,IF(D40=Data!$W$14,Data!$QF$1,IF(D40=Data!$W$15,Data!$QF$1,IF(D40=Data!$W$16,Data!$QF$1))))))))))))))</f>
        <v>RollerBracketType2</v>
      </c>
      <c r="AV40" s="40" t="e">
        <f>IF(AND(G40&lt;2130, OR(#REF!&lt;2100)),Data!$KS$1,Data!$KT$1)</f>
        <v>#REF!</v>
      </c>
      <c r="AW40" s="92" t="e">
        <f>MATCH(#REF!,Data!$LA$1:$LD$1,0)</f>
        <v>#REF!</v>
      </c>
      <c r="AX40" s="92" t="e">
        <f>MATCH('Panel Glide Blinds'!AV40,Data!$KZ$2:$KZ$3,0)</f>
        <v>#REF!</v>
      </c>
      <c r="AY40" s="92" t="e">
        <f>INDEX(Data!$LA$2:$LD$3,'Panel Glide Blinds'!AX40,'Panel Glide Blinds'!AW40)</f>
        <v>#REF!</v>
      </c>
      <c r="BB40" s="92" t="e">
        <f>IF(#REF!=Data!$QK$2,Data!$QL$1,IF(#REF!=Data!$QK$3,Data!$QM$1,IF(#REF!=Data!$QK$4,Data!$QN$1,IF(#REF!=Data!$QK$5,Data!$QO$1,IF(#REF!=Data!$QK$6,Data!$QP$1,IF(#REF!=Data!$QK$7,Data!$QQ$1,IF(#REF!=Data!$QK$8,Data!$QR$1,IF(#REF!=Data!$QK$9,Data!$QS$1,IF(#REF!=Data!$QK$10,Data!$QT$1,IF(#REF!=Data!$QK$11,Data!$QU$1))))))))))</f>
        <v>#REF!</v>
      </c>
      <c r="BC40" s="33" t="e">
        <f>IF(#REF!=Data!$QK$2,Data!$QL$17,IF(#REF!=Data!$QK$3,Data!$QM$17,IF(#REF!=Data!$QK$4,Data!$QN$17,IF(#REF!=Data!$QK$5,Data!$QO$17,IF(#REF!=Data!$QK$6,Data!$QP$17,IF(#REF!=Data!$QK$7,Data!$QQ$17,IF(#REF!=Data!$QK$8,Data!$QR$17,IF(#REF!=Data!$QK$9,Data!$QS$17,IF(#REF!=Data!$QK$10,Data!$QT$17,IF(#REF!=Data!$QK$11,Data!$QU$17))))))))))</f>
        <v>#REF!</v>
      </c>
      <c r="BD40" s="33" t="e">
        <f>IF(#REF!=Data!$PU$2,Data!$PW$1,IF(#REF!=Data!$PU$3,Data!$PW$1,IF(#REF!=Data!$PU$4,Data!$PV$1,IF(#REF!=Data!$PU$5,Data!$PV$1,))))</f>
        <v>#REF!</v>
      </c>
      <c r="BE40" s="33" t="e">
        <f>MATCH('Panel Glide Blinds'!D40,Data!$YK$2:$YK$15)</f>
        <v>#N/A</v>
      </c>
      <c r="BF40" s="33" t="e">
        <f>MATCH(O40,Data!$YL$1:$YM$1)</f>
        <v>#N/A</v>
      </c>
      <c r="BG40" s="33" t="e">
        <f>INDEX(Data!$YL$2:$YM$15,BE40,BF40)</f>
        <v>#N/A</v>
      </c>
      <c r="BH40" s="33" t="b">
        <f>IF(O40=Data!$ZF$1,Data!$ZD$1,IF(O40=Data!$ZF$2,Data!$ZE$1))</f>
        <v>0</v>
      </c>
      <c r="BI40" s="33" t="e">
        <f>VLOOKUP(H40,Data!$ZL$2:$ZM$8,2,FALSE)</f>
        <v>#N/A</v>
      </c>
      <c r="BJ40" s="92" t="e">
        <f>VLOOKUP(H40,Data!$ZW$2:$ZX$9,2,FALSE)</f>
        <v>#N/A</v>
      </c>
      <c r="BK40" s="92" t="e">
        <f>VLOOKUP(H40,Data!$ZW$2:$ZY$8,3,FALSE)</f>
        <v>#N/A</v>
      </c>
      <c r="BL40" s="92" t="str">
        <f t="shared" ref="BL40:BL57" si="9">IF(F40="","",IF(F40&lt;BJ40,"Yes","No"))</f>
        <v/>
      </c>
      <c r="BM40" s="92" t="str">
        <f t="shared" ref="BM40:BM57" si="10">IF(F40="","",IF(F40&gt;BK40,"Yes","No"))</f>
        <v/>
      </c>
      <c r="BN40" s="92" t="str">
        <f t="shared" si="4"/>
        <v/>
      </c>
      <c r="BO40" s="33" t="e">
        <f t="shared" si="5"/>
        <v>#DIV/0!</v>
      </c>
      <c r="BP40" s="33" t="e">
        <f t="shared" si="6"/>
        <v>#DIV/0!</v>
      </c>
      <c r="BQ40" s="33" t="e">
        <f t="shared" si="7"/>
        <v>#DIV/0!</v>
      </c>
      <c r="BR40" s="33" t="str">
        <f t="shared" si="8"/>
        <v/>
      </c>
    </row>
    <row r="41" spans="1:70" ht="30" customHeight="1" thickTop="1" thickBot="1">
      <c r="A41" s="53">
        <v>34</v>
      </c>
      <c r="B41" s="13"/>
      <c r="C41" s="13"/>
      <c r="D41" s="19"/>
      <c r="E41" s="15"/>
      <c r="F41" s="14"/>
      <c r="G41" s="14"/>
      <c r="H41" s="14"/>
      <c r="I41" s="13"/>
      <c r="J41" s="14"/>
      <c r="K41" s="14"/>
      <c r="L41" s="484"/>
      <c r="M41" s="485"/>
      <c r="N41" s="15"/>
      <c r="O41" s="15"/>
      <c r="P41" s="15"/>
      <c r="Q41" s="13"/>
      <c r="R41" s="13"/>
      <c r="S41" s="13"/>
      <c r="T41" s="555"/>
      <c r="U41" s="556"/>
      <c r="V41" s="236"/>
      <c r="W41" s="237"/>
      <c r="X41" s="284" t="e">
        <f t="shared" si="2"/>
        <v>#N/A</v>
      </c>
      <c r="Y41" s="284" t="e">
        <f>VLOOKUP(Q41,Data!$QH$2:$QI$4,2,FALSE)</f>
        <v>#N/A</v>
      </c>
      <c r="AA41" s="284" t="e">
        <f t="shared" si="3"/>
        <v>#N/A</v>
      </c>
      <c r="AD41" s="92" t="e">
        <f>IF(#REF!=Data!$KK$2,Data!$KM$1,IF(#REF!=Data!$KK$3,Data!$KN$1,IF(#REF!=Data!$KK$4,Data!$KP$1,IF(#REF!=Data!$KK$5,Data!$KQ$1))))</f>
        <v>#REF!</v>
      </c>
      <c r="AE41" s="33" t="str">
        <f>IF(D41=Data!$W$10,Data!$QJ$1,Data!$QK$1)</f>
        <v>RollerControl</v>
      </c>
      <c r="AH41" s="33" t="b">
        <f>IF(Q41=Data!$PX$2,Data!$PZ$1,IF(Q41=Data!$PX$3,Data!$PY$1,IF(Q41=Data!$PX$4,Data!$QA$1)))</f>
        <v>0</v>
      </c>
      <c r="AJ41" s="33" t="b">
        <f>IF(Q41=Data!$PX$3,Data!$QB$1,IF(Q41=Data!$PX$2,Data!$QC$1,IF(Q41=Data!$PX$4,Data!$QD$1)))</f>
        <v>0</v>
      </c>
      <c r="AL41" s="33" t="str">
        <f>IF(D41=Data!$W$3,Data!$QF$1,IF(D41=Data!$W$4,Data!$QF$1,IF(D41=Data!$W$5,Data!$QF$1,IF(D41=Data!$W$6,Data!$QF$1,IF(D41=Data!$W$7,Data!$QF$1,IF(D41=Data!$W$8,Data!$QF$1,IF(D41=Data!$W$9,Data!$QF$1,IF(D41=Data!$W$10,Data!$QE$1,IF(D41=Data!$W$11,Data!$QF$1,IF(D41=Data!$W$12,Data!$QF$1,IF(D41=Data!$W$13,Data!$QF$1,IF(D41=Data!$W$14,Data!$QF$1,IF(D41=Data!$W$15,Data!$QF$1,IF(D41=Data!$W$16,Data!$QF$1))))))))))))))</f>
        <v>RollerBracketType2</v>
      </c>
      <c r="AV41" s="40" t="e">
        <f>IF(AND(G41&lt;2130, OR(#REF!&lt;2100)),Data!$KS$1,Data!$KT$1)</f>
        <v>#REF!</v>
      </c>
      <c r="AW41" s="92" t="e">
        <f>MATCH(#REF!,Data!$LA$1:$LD$1,0)</f>
        <v>#REF!</v>
      </c>
      <c r="AX41" s="92" t="e">
        <f>MATCH('Panel Glide Blinds'!AV41,Data!$KZ$2:$KZ$3,0)</f>
        <v>#REF!</v>
      </c>
      <c r="AY41" s="92" t="e">
        <f>INDEX(Data!$LA$2:$LD$3,'Panel Glide Blinds'!AX41,'Panel Glide Blinds'!AW41)</f>
        <v>#REF!</v>
      </c>
      <c r="BB41" s="92" t="e">
        <f>IF(#REF!=Data!$QK$2,Data!$QL$1,IF(#REF!=Data!$QK$3,Data!$QM$1,IF(#REF!=Data!$QK$4,Data!$QN$1,IF(#REF!=Data!$QK$5,Data!$QO$1,IF(#REF!=Data!$QK$6,Data!$QP$1,IF(#REF!=Data!$QK$7,Data!$QQ$1,IF(#REF!=Data!$QK$8,Data!$QR$1,IF(#REF!=Data!$QK$9,Data!$QS$1,IF(#REF!=Data!$QK$10,Data!$QT$1,IF(#REF!=Data!$QK$11,Data!$QU$1))))))))))</f>
        <v>#REF!</v>
      </c>
      <c r="BC41" s="33" t="e">
        <f>IF(#REF!=Data!$QK$2,Data!$QL$17,IF(#REF!=Data!$QK$3,Data!$QM$17,IF(#REF!=Data!$QK$4,Data!$QN$17,IF(#REF!=Data!$QK$5,Data!$QO$17,IF(#REF!=Data!$QK$6,Data!$QP$17,IF(#REF!=Data!$QK$7,Data!$QQ$17,IF(#REF!=Data!$QK$8,Data!$QR$17,IF(#REF!=Data!$QK$9,Data!$QS$17,IF(#REF!=Data!$QK$10,Data!$QT$17,IF(#REF!=Data!$QK$11,Data!$QU$17))))))))))</f>
        <v>#REF!</v>
      </c>
      <c r="BD41" s="33" t="e">
        <f>IF(#REF!=Data!$PU$2,Data!$PW$1,IF(#REF!=Data!$PU$3,Data!$PW$1,IF(#REF!=Data!$PU$4,Data!$PV$1,IF(#REF!=Data!$PU$5,Data!$PV$1,))))</f>
        <v>#REF!</v>
      </c>
      <c r="BE41" s="33" t="e">
        <f>MATCH('Panel Glide Blinds'!D41,Data!$YK$2:$YK$15)</f>
        <v>#N/A</v>
      </c>
      <c r="BF41" s="33" t="e">
        <f>MATCH(O41,Data!$YL$1:$YM$1)</f>
        <v>#N/A</v>
      </c>
      <c r="BG41" s="33" t="e">
        <f>INDEX(Data!$YL$2:$YM$15,BE41,BF41)</f>
        <v>#N/A</v>
      </c>
      <c r="BH41" s="33" t="b">
        <f>IF(O41=Data!$ZF$1,Data!$ZD$1,IF(O41=Data!$ZF$2,Data!$ZE$1))</f>
        <v>0</v>
      </c>
      <c r="BI41" s="33" t="e">
        <f>VLOOKUP(H41,Data!$ZL$2:$ZM$8,2,FALSE)</f>
        <v>#N/A</v>
      </c>
      <c r="BJ41" s="92" t="e">
        <f>VLOOKUP(H41,Data!$ZW$2:$ZX$9,2,FALSE)</f>
        <v>#N/A</v>
      </c>
      <c r="BK41" s="92" t="e">
        <f>VLOOKUP(H41,Data!$ZW$2:$ZY$8,3,FALSE)</f>
        <v>#N/A</v>
      </c>
      <c r="BL41" s="92" t="str">
        <f t="shared" si="9"/>
        <v/>
      </c>
      <c r="BM41" s="92" t="str">
        <f t="shared" si="10"/>
        <v/>
      </c>
      <c r="BN41" s="92" t="str">
        <f t="shared" si="4"/>
        <v/>
      </c>
      <c r="BO41" s="33" t="e">
        <f t="shared" si="5"/>
        <v>#DIV/0!</v>
      </c>
      <c r="BP41" s="33" t="e">
        <f t="shared" si="6"/>
        <v>#DIV/0!</v>
      </c>
      <c r="BQ41" s="33" t="e">
        <f t="shared" si="7"/>
        <v>#DIV/0!</v>
      </c>
      <c r="BR41" s="33" t="str">
        <f t="shared" si="8"/>
        <v/>
      </c>
    </row>
    <row r="42" spans="1:70" ht="30" customHeight="1" thickTop="1" thickBot="1">
      <c r="A42" s="53">
        <v>35</v>
      </c>
      <c r="B42" s="13"/>
      <c r="C42" s="13"/>
      <c r="D42" s="19"/>
      <c r="E42" s="15"/>
      <c r="F42" s="14"/>
      <c r="G42" s="14"/>
      <c r="H42" s="14"/>
      <c r="I42" s="13"/>
      <c r="J42" s="14"/>
      <c r="K42" s="14"/>
      <c r="L42" s="484"/>
      <c r="M42" s="485"/>
      <c r="N42" s="15"/>
      <c r="O42" s="15"/>
      <c r="P42" s="15"/>
      <c r="Q42" s="13"/>
      <c r="R42" s="13"/>
      <c r="S42" s="13"/>
      <c r="T42" s="555"/>
      <c r="U42" s="556"/>
      <c r="V42" s="236"/>
      <c r="W42" s="237"/>
      <c r="X42" s="284" t="e">
        <f t="shared" si="2"/>
        <v>#N/A</v>
      </c>
      <c r="Y42" s="284" t="e">
        <f>VLOOKUP(Q42,Data!$QH$2:$QI$4,2,FALSE)</f>
        <v>#N/A</v>
      </c>
      <c r="AA42" s="284" t="e">
        <f t="shared" si="3"/>
        <v>#N/A</v>
      </c>
      <c r="AD42" s="92" t="e">
        <f>IF(#REF!=Data!$KK$2,Data!$KM$1,IF(#REF!=Data!$KK$3,Data!$KN$1,IF(#REF!=Data!$KK$4,Data!$KP$1,IF(#REF!=Data!$KK$5,Data!$KQ$1))))</f>
        <v>#REF!</v>
      </c>
      <c r="AE42" s="33" t="str">
        <f>IF(D42=Data!$W$10,Data!$QJ$1,Data!$QK$1)</f>
        <v>RollerControl</v>
      </c>
      <c r="AH42" s="33" t="b">
        <f>IF(Q42=Data!$PX$2,Data!$PZ$1,IF(Q42=Data!$PX$3,Data!$PY$1,IF(Q42=Data!$PX$4,Data!$QA$1)))</f>
        <v>0</v>
      </c>
      <c r="AJ42" s="33" t="b">
        <f>IF(Q42=Data!$PX$3,Data!$QB$1,IF(Q42=Data!$PX$2,Data!$QC$1,IF(Q42=Data!$PX$4,Data!$QD$1)))</f>
        <v>0</v>
      </c>
      <c r="AL42" s="33" t="str">
        <f>IF(D42=Data!$W$3,Data!$QF$1,IF(D42=Data!$W$4,Data!$QF$1,IF(D42=Data!$W$5,Data!$QF$1,IF(D42=Data!$W$6,Data!$QF$1,IF(D42=Data!$W$7,Data!$QF$1,IF(D42=Data!$W$8,Data!$QF$1,IF(D42=Data!$W$9,Data!$QF$1,IF(D42=Data!$W$10,Data!$QE$1,IF(D42=Data!$W$11,Data!$QF$1,IF(D42=Data!$W$12,Data!$QF$1,IF(D42=Data!$W$13,Data!$QF$1,IF(D42=Data!$W$14,Data!$QF$1,IF(D42=Data!$W$15,Data!$QF$1,IF(D42=Data!$W$16,Data!$QF$1))))))))))))))</f>
        <v>RollerBracketType2</v>
      </c>
      <c r="AV42" s="40" t="e">
        <f>IF(AND(G42&lt;2130, OR(#REF!&lt;2100)),Data!$KS$1,Data!$KT$1)</f>
        <v>#REF!</v>
      </c>
      <c r="AW42" s="92" t="e">
        <f>MATCH(#REF!,Data!$LA$1:$LD$1,0)</f>
        <v>#REF!</v>
      </c>
      <c r="AX42" s="92" t="e">
        <f>MATCH('Panel Glide Blinds'!AV42,Data!$KZ$2:$KZ$3,0)</f>
        <v>#REF!</v>
      </c>
      <c r="AY42" s="92" t="e">
        <f>INDEX(Data!$LA$2:$LD$3,'Panel Glide Blinds'!AX42,'Panel Glide Blinds'!AW42)</f>
        <v>#REF!</v>
      </c>
      <c r="BB42" s="92" t="e">
        <f>IF(#REF!=Data!$QK$2,Data!$QL$1,IF(#REF!=Data!$QK$3,Data!$QM$1,IF(#REF!=Data!$QK$4,Data!$QN$1,IF(#REF!=Data!$QK$5,Data!$QO$1,IF(#REF!=Data!$QK$6,Data!$QP$1,IF(#REF!=Data!$QK$7,Data!$QQ$1,IF(#REF!=Data!$QK$8,Data!$QR$1,IF(#REF!=Data!$QK$9,Data!$QS$1,IF(#REF!=Data!$QK$10,Data!$QT$1,IF(#REF!=Data!$QK$11,Data!$QU$1))))))))))</f>
        <v>#REF!</v>
      </c>
      <c r="BC42" s="33" t="e">
        <f>IF(#REF!=Data!$QK$2,Data!$QL$17,IF(#REF!=Data!$QK$3,Data!$QM$17,IF(#REF!=Data!$QK$4,Data!$QN$17,IF(#REF!=Data!$QK$5,Data!$QO$17,IF(#REF!=Data!$QK$6,Data!$QP$17,IF(#REF!=Data!$QK$7,Data!$QQ$17,IF(#REF!=Data!$QK$8,Data!$QR$17,IF(#REF!=Data!$QK$9,Data!$QS$17,IF(#REF!=Data!$QK$10,Data!$QT$17,IF(#REF!=Data!$QK$11,Data!$QU$17))))))))))</f>
        <v>#REF!</v>
      </c>
      <c r="BD42" s="33" t="e">
        <f>IF(#REF!=Data!$PU$2,Data!$PW$1,IF(#REF!=Data!$PU$3,Data!$PW$1,IF(#REF!=Data!$PU$4,Data!$PV$1,IF(#REF!=Data!$PU$5,Data!$PV$1,))))</f>
        <v>#REF!</v>
      </c>
      <c r="BE42" s="33" t="e">
        <f>MATCH('Panel Glide Blinds'!D42,Data!$YK$2:$YK$15)</f>
        <v>#N/A</v>
      </c>
      <c r="BF42" s="33" t="e">
        <f>MATCH(O42,Data!$YL$1:$YM$1)</f>
        <v>#N/A</v>
      </c>
      <c r="BG42" s="33" t="e">
        <f>INDEX(Data!$YL$2:$YM$15,BE42,BF42)</f>
        <v>#N/A</v>
      </c>
      <c r="BH42" s="33" t="b">
        <f>IF(O42=Data!$ZF$1,Data!$ZD$1,IF(O42=Data!$ZF$2,Data!$ZE$1))</f>
        <v>0</v>
      </c>
      <c r="BI42" s="33" t="e">
        <f>VLOOKUP(H42,Data!$ZL$2:$ZM$8,2,FALSE)</f>
        <v>#N/A</v>
      </c>
      <c r="BJ42" s="92" t="e">
        <f>VLOOKUP(H42,Data!$ZW$2:$ZX$9,2,FALSE)</f>
        <v>#N/A</v>
      </c>
      <c r="BK42" s="92" t="e">
        <f>VLOOKUP(H42,Data!$ZW$2:$ZY$8,3,FALSE)</f>
        <v>#N/A</v>
      </c>
      <c r="BL42" s="92" t="str">
        <f t="shared" si="9"/>
        <v/>
      </c>
      <c r="BM42" s="92" t="str">
        <f t="shared" si="10"/>
        <v/>
      </c>
      <c r="BN42" s="92" t="str">
        <f t="shared" si="4"/>
        <v/>
      </c>
      <c r="BO42" s="33" t="e">
        <f t="shared" si="5"/>
        <v>#DIV/0!</v>
      </c>
      <c r="BP42" s="33" t="e">
        <f t="shared" si="6"/>
        <v>#DIV/0!</v>
      </c>
      <c r="BQ42" s="33" t="e">
        <f t="shared" si="7"/>
        <v>#DIV/0!</v>
      </c>
      <c r="BR42" s="33" t="str">
        <f t="shared" si="8"/>
        <v/>
      </c>
    </row>
    <row r="43" spans="1:70" ht="30" customHeight="1" thickTop="1" thickBot="1">
      <c r="A43" s="53">
        <v>36</v>
      </c>
      <c r="B43" s="13"/>
      <c r="C43" s="13"/>
      <c r="D43" s="19"/>
      <c r="E43" s="15"/>
      <c r="F43" s="14"/>
      <c r="G43" s="14"/>
      <c r="H43" s="14"/>
      <c r="I43" s="13"/>
      <c r="J43" s="14"/>
      <c r="K43" s="14"/>
      <c r="L43" s="484"/>
      <c r="M43" s="485"/>
      <c r="N43" s="15"/>
      <c r="O43" s="15"/>
      <c r="P43" s="15"/>
      <c r="Q43" s="13"/>
      <c r="R43" s="13"/>
      <c r="S43" s="13"/>
      <c r="T43" s="555"/>
      <c r="U43" s="556"/>
      <c r="V43" s="236"/>
      <c r="W43" s="237"/>
      <c r="X43" s="284" t="e">
        <f t="shared" si="2"/>
        <v>#N/A</v>
      </c>
      <c r="Y43" s="284" t="e">
        <f>VLOOKUP(Q43,Data!$QH$2:$QI$4,2,FALSE)</f>
        <v>#N/A</v>
      </c>
      <c r="AA43" s="284" t="e">
        <f t="shared" si="3"/>
        <v>#N/A</v>
      </c>
      <c r="AD43" s="92" t="e">
        <f>IF(#REF!=Data!$KK$2,Data!$KM$1,IF(#REF!=Data!$KK$3,Data!$KN$1,IF(#REF!=Data!$KK$4,Data!$KP$1,IF(#REF!=Data!$KK$5,Data!$KQ$1))))</f>
        <v>#REF!</v>
      </c>
      <c r="AE43" s="33" t="str">
        <f>IF(D43=Data!$W$10,Data!$QJ$1,Data!$QK$1)</f>
        <v>RollerControl</v>
      </c>
      <c r="AH43" s="33" t="b">
        <f>IF(Q43=Data!$PX$2,Data!$PZ$1,IF(Q43=Data!$PX$3,Data!$PY$1,IF(Q43=Data!$PX$4,Data!$QA$1)))</f>
        <v>0</v>
      </c>
      <c r="AJ43" s="33" t="b">
        <f>IF(Q43=Data!$PX$3,Data!$QB$1,IF(Q43=Data!$PX$2,Data!$QC$1,IF(Q43=Data!$PX$4,Data!$QD$1)))</f>
        <v>0</v>
      </c>
      <c r="AL43" s="33" t="str">
        <f>IF(D43=Data!$W$3,Data!$QF$1,IF(D43=Data!$W$4,Data!$QF$1,IF(D43=Data!$W$5,Data!$QF$1,IF(D43=Data!$W$6,Data!$QF$1,IF(D43=Data!$W$7,Data!$QF$1,IF(D43=Data!$W$8,Data!$QF$1,IF(D43=Data!$W$9,Data!$QF$1,IF(D43=Data!$W$10,Data!$QE$1,IF(D43=Data!$W$11,Data!$QF$1,IF(D43=Data!$W$12,Data!$QF$1,IF(D43=Data!$W$13,Data!$QF$1,IF(D43=Data!$W$14,Data!$QF$1,IF(D43=Data!$W$15,Data!$QF$1,IF(D43=Data!$W$16,Data!$QF$1))))))))))))))</f>
        <v>RollerBracketType2</v>
      </c>
      <c r="AV43" s="40" t="e">
        <f>IF(AND(G43&lt;2130, OR(#REF!&lt;2100)),Data!$KS$1,Data!$KT$1)</f>
        <v>#REF!</v>
      </c>
      <c r="AW43" s="92" t="e">
        <f>MATCH(#REF!,Data!$LA$1:$LD$1,0)</f>
        <v>#REF!</v>
      </c>
      <c r="AX43" s="92" t="e">
        <f>MATCH('Panel Glide Blinds'!AV43,Data!$KZ$2:$KZ$3,0)</f>
        <v>#REF!</v>
      </c>
      <c r="AY43" s="92" t="e">
        <f>INDEX(Data!$LA$2:$LD$3,'Panel Glide Blinds'!AX43,'Panel Glide Blinds'!AW43)</f>
        <v>#REF!</v>
      </c>
      <c r="BB43" s="92" t="e">
        <f>IF(#REF!=Data!$QK$2,Data!$QL$1,IF(#REF!=Data!$QK$3,Data!$QM$1,IF(#REF!=Data!$QK$4,Data!$QN$1,IF(#REF!=Data!$QK$5,Data!$QO$1,IF(#REF!=Data!$QK$6,Data!$QP$1,IF(#REF!=Data!$QK$7,Data!$QQ$1,IF(#REF!=Data!$QK$8,Data!$QR$1,IF(#REF!=Data!$QK$9,Data!$QS$1,IF(#REF!=Data!$QK$10,Data!$QT$1,IF(#REF!=Data!$QK$11,Data!$QU$1))))))))))</f>
        <v>#REF!</v>
      </c>
      <c r="BC43" s="33" t="e">
        <f>IF(#REF!=Data!$QK$2,Data!$QL$17,IF(#REF!=Data!$QK$3,Data!$QM$17,IF(#REF!=Data!$QK$4,Data!$QN$17,IF(#REF!=Data!$QK$5,Data!$QO$17,IF(#REF!=Data!$QK$6,Data!$QP$17,IF(#REF!=Data!$QK$7,Data!$QQ$17,IF(#REF!=Data!$QK$8,Data!$QR$17,IF(#REF!=Data!$QK$9,Data!$QS$17,IF(#REF!=Data!$QK$10,Data!$QT$17,IF(#REF!=Data!$QK$11,Data!$QU$17))))))))))</f>
        <v>#REF!</v>
      </c>
      <c r="BD43" s="33" t="e">
        <f>IF(#REF!=Data!$PU$2,Data!$PW$1,IF(#REF!=Data!$PU$3,Data!$PW$1,IF(#REF!=Data!$PU$4,Data!$PV$1,IF(#REF!=Data!$PU$5,Data!$PV$1,))))</f>
        <v>#REF!</v>
      </c>
      <c r="BE43" s="33" t="e">
        <f>MATCH('Panel Glide Blinds'!D43,Data!$YK$2:$YK$15)</f>
        <v>#N/A</v>
      </c>
      <c r="BF43" s="33" t="e">
        <f>MATCH(O43,Data!$YL$1:$YM$1)</f>
        <v>#N/A</v>
      </c>
      <c r="BG43" s="33" t="e">
        <f>INDEX(Data!$YL$2:$YM$15,BE43,BF43)</f>
        <v>#N/A</v>
      </c>
      <c r="BH43" s="33" t="b">
        <f>IF(O43=Data!$ZF$1,Data!$ZD$1,IF(O43=Data!$ZF$2,Data!$ZE$1))</f>
        <v>0</v>
      </c>
      <c r="BI43" s="33" t="e">
        <f>VLOOKUP(H43,Data!$ZL$2:$ZM$8,2,FALSE)</f>
        <v>#N/A</v>
      </c>
      <c r="BJ43" s="92" t="e">
        <f>VLOOKUP(H43,Data!$ZW$2:$ZX$9,2,FALSE)</f>
        <v>#N/A</v>
      </c>
      <c r="BK43" s="92" t="e">
        <f>VLOOKUP(H43,Data!$ZW$2:$ZY$8,3,FALSE)</f>
        <v>#N/A</v>
      </c>
      <c r="BL43" s="92" t="str">
        <f t="shared" si="9"/>
        <v/>
      </c>
      <c r="BM43" s="92" t="str">
        <f t="shared" si="10"/>
        <v/>
      </c>
      <c r="BN43" s="92" t="str">
        <f t="shared" si="4"/>
        <v/>
      </c>
      <c r="BO43" s="33" t="e">
        <f t="shared" si="5"/>
        <v>#DIV/0!</v>
      </c>
      <c r="BP43" s="33" t="e">
        <f t="shared" si="6"/>
        <v>#DIV/0!</v>
      </c>
      <c r="BQ43" s="33" t="e">
        <f t="shared" si="7"/>
        <v>#DIV/0!</v>
      </c>
      <c r="BR43" s="33" t="str">
        <f t="shared" si="8"/>
        <v/>
      </c>
    </row>
    <row r="44" spans="1:70" ht="30" customHeight="1" thickTop="1" thickBot="1">
      <c r="A44" s="53">
        <v>37</v>
      </c>
      <c r="B44" s="13"/>
      <c r="C44" s="13"/>
      <c r="D44" s="19"/>
      <c r="E44" s="15"/>
      <c r="F44" s="14"/>
      <c r="G44" s="14"/>
      <c r="H44" s="14"/>
      <c r="I44" s="13"/>
      <c r="J44" s="14"/>
      <c r="K44" s="14"/>
      <c r="L44" s="484"/>
      <c r="M44" s="485"/>
      <c r="N44" s="15"/>
      <c r="O44" s="15"/>
      <c r="P44" s="15"/>
      <c r="Q44" s="13"/>
      <c r="R44" s="13"/>
      <c r="S44" s="13"/>
      <c r="T44" s="555"/>
      <c r="U44" s="556"/>
      <c r="V44" s="236"/>
      <c r="W44" s="237"/>
      <c r="X44" s="284" t="e">
        <f t="shared" si="2"/>
        <v>#N/A</v>
      </c>
      <c r="Y44" s="284" t="e">
        <f>VLOOKUP(Q44,Data!$QH$2:$QI$4,2,FALSE)</f>
        <v>#N/A</v>
      </c>
      <c r="AA44" s="284" t="e">
        <f t="shared" si="3"/>
        <v>#N/A</v>
      </c>
      <c r="AD44" s="92" t="e">
        <f>IF(#REF!=Data!$KK$2,Data!$KM$1,IF(#REF!=Data!$KK$3,Data!$KN$1,IF(#REF!=Data!$KK$4,Data!$KP$1,IF(#REF!=Data!$KK$5,Data!$KQ$1))))</f>
        <v>#REF!</v>
      </c>
      <c r="AE44" s="33" t="str">
        <f>IF(D44=Data!$W$10,Data!$QJ$1,Data!$QK$1)</f>
        <v>RollerControl</v>
      </c>
      <c r="AH44" s="33" t="b">
        <f>IF(Q44=Data!$PX$2,Data!$PZ$1,IF(Q44=Data!$PX$3,Data!$PY$1,IF(Q44=Data!$PX$4,Data!$QA$1)))</f>
        <v>0</v>
      </c>
      <c r="AJ44" s="33" t="b">
        <f>IF(Q44=Data!$PX$3,Data!$QB$1,IF(Q44=Data!$PX$2,Data!$QC$1,IF(Q44=Data!$PX$4,Data!$QD$1)))</f>
        <v>0</v>
      </c>
      <c r="AL44" s="33" t="str">
        <f>IF(D44=Data!$W$3,Data!$QF$1,IF(D44=Data!$W$4,Data!$QF$1,IF(D44=Data!$W$5,Data!$QF$1,IF(D44=Data!$W$6,Data!$QF$1,IF(D44=Data!$W$7,Data!$QF$1,IF(D44=Data!$W$8,Data!$QF$1,IF(D44=Data!$W$9,Data!$QF$1,IF(D44=Data!$W$10,Data!$QE$1,IF(D44=Data!$W$11,Data!$QF$1,IF(D44=Data!$W$12,Data!$QF$1,IF(D44=Data!$W$13,Data!$QF$1,IF(D44=Data!$W$14,Data!$QF$1,IF(D44=Data!$W$15,Data!$QF$1,IF(D44=Data!$W$16,Data!$QF$1))))))))))))))</f>
        <v>RollerBracketType2</v>
      </c>
      <c r="AV44" s="40" t="e">
        <f>IF(AND(G44&lt;2130, OR(#REF!&lt;2100)),Data!$KS$1,Data!$KT$1)</f>
        <v>#REF!</v>
      </c>
      <c r="AW44" s="92" t="e">
        <f>MATCH(#REF!,Data!$LA$1:$LD$1,0)</f>
        <v>#REF!</v>
      </c>
      <c r="AX44" s="92" t="e">
        <f>MATCH('Panel Glide Blinds'!AV44,Data!$KZ$2:$KZ$3,0)</f>
        <v>#REF!</v>
      </c>
      <c r="AY44" s="92" t="e">
        <f>INDEX(Data!$LA$2:$LD$3,'Panel Glide Blinds'!AX44,'Panel Glide Blinds'!AW44)</f>
        <v>#REF!</v>
      </c>
      <c r="BB44" s="92" t="e">
        <f>IF(#REF!=Data!$QK$2,Data!$QL$1,IF(#REF!=Data!$QK$3,Data!$QM$1,IF(#REF!=Data!$QK$4,Data!$QN$1,IF(#REF!=Data!$QK$5,Data!$QO$1,IF(#REF!=Data!$QK$6,Data!$QP$1,IF(#REF!=Data!$QK$7,Data!$QQ$1,IF(#REF!=Data!$QK$8,Data!$QR$1,IF(#REF!=Data!$QK$9,Data!$QS$1,IF(#REF!=Data!$QK$10,Data!$QT$1,IF(#REF!=Data!$QK$11,Data!$QU$1))))))))))</f>
        <v>#REF!</v>
      </c>
      <c r="BC44" s="33" t="e">
        <f>IF(#REF!=Data!$QK$2,Data!$QL$17,IF(#REF!=Data!$QK$3,Data!$QM$17,IF(#REF!=Data!$QK$4,Data!$QN$17,IF(#REF!=Data!$QK$5,Data!$QO$17,IF(#REF!=Data!$QK$6,Data!$QP$17,IF(#REF!=Data!$QK$7,Data!$QQ$17,IF(#REF!=Data!$QK$8,Data!$QR$17,IF(#REF!=Data!$QK$9,Data!$QS$17,IF(#REF!=Data!$QK$10,Data!$QT$17,IF(#REF!=Data!$QK$11,Data!$QU$17))))))))))</f>
        <v>#REF!</v>
      </c>
      <c r="BD44" s="33" t="e">
        <f>IF(#REF!=Data!$PU$2,Data!$PW$1,IF(#REF!=Data!$PU$3,Data!$PW$1,IF(#REF!=Data!$PU$4,Data!$PV$1,IF(#REF!=Data!$PU$5,Data!$PV$1,))))</f>
        <v>#REF!</v>
      </c>
      <c r="BE44" s="33" t="e">
        <f>MATCH('Panel Glide Blinds'!D44,Data!$YK$2:$YK$15)</f>
        <v>#N/A</v>
      </c>
      <c r="BF44" s="33" t="e">
        <f>MATCH(O44,Data!$YL$1:$YM$1)</f>
        <v>#N/A</v>
      </c>
      <c r="BG44" s="33" t="e">
        <f>INDEX(Data!$YL$2:$YM$15,BE44,BF44)</f>
        <v>#N/A</v>
      </c>
      <c r="BH44" s="33" t="b">
        <f>IF(O44=Data!$ZF$1,Data!$ZD$1,IF(O44=Data!$ZF$2,Data!$ZE$1))</f>
        <v>0</v>
      </c>
      <c r="BI44" s="33" t="e">
        <f>VLOOKUP(H44,Data!$ZL$2:$ZM$8,2,FALSE)</f>
        <v>#N/A</v>
      </c>
      <c r="BJ44" s="92" t="e">
        <f>VLOOKUP(H44,Data!$ZW$2:$ZX$9,2,FALSE)</f>
        <v>#N/A</v>
      </c>
      <c r="BK44" s="92" t="e">
        <f>VLOOKUP(H44,Data!$ZW$2:$ZY$8,3,FALSE)</f>
        <v>#N/A</v>
      </c>
      <c r="BL44" s="92" t="str">
        <f t="shared" si="9"/>
        <v/>
      </c>
      <c r="BM44" s="92" t="str">
        <f t="shared" si="10"/>
        <v/>
      </c>
      <c r="BN44" s="92" t="str">
        <f t="shared" si="4"/>
        <v/>
      </c>
      <c r="BO44" s="33" t="e">
        <f t="shared" si="5"/>
        <v>#DIV/0!</v>
      </c>
      <c r="BP44" s="33" t="e">
        <f t="shared" si="6"/>
        <v>#DIV/0!</v>
      </c>
      <c r="BQ44" s="33" t="e">
        <f t="shared" si="7"/>
        <v>#DIV/0!</v>
      </c>
      <c r="BR44" s="33" t="str">
        <f t="shared" si="8"/>
        <v/>
      </c>
    </row>
    <row r="45" spans="1:70" ht="30" customHeight="1" thickTop="1" thickBot="1">
      <c r="A45" s="53">
        <v>38</v>
      </c>
      <c r="B45" s="13"/>
      <c r="C45" s="13"/>
      <c r="D45" s="19"/>
      <c r="E45" s="15"/>
      <c r="F45" s="14"/>
      <c r="G45" s="14"/>
      <c r="H45" s="14"/>
      <c r="I45" s="13"/>
      <c r="J45" s="14"/>
      <c r="K45" s="14"/>
      <c r="L45" s="484"/>
      <c r="M45" s="485"/>
      <c r="N45" s="15"/>
      <c r="O45" s="15"/>
      <c r="P45" s="15"/>
      <c r="Q45" s="13"/>
      <c r="R45" s="13"/>
      <c r="S45" s="13"/>
      <c r="T45" s="555"/>
      <c r="U45" s="556"/>
      <c r="V45" s="236"/>
      <c r="W45" s="237"/>
      <c r="X45" s="284" t="e">
        <f t="shared" si="2"/>
        <v>#N/A</v>
      </c>
      <c r="Y45" s="284" t="e">
        <f>VLOOKUP(Q45,Data!$QH$2:$QI$4,2,FALSE)</f>
        <v>#N/A</v>
      </c>
      <c r="AA45" s="284" t="e">
        <f t="shared" si="3"/>
        <v>#N/A</v>
      </c>
      <c r="AD45" s="92" t="e">
        <f>IF(#REF!=Data!$KK$2,Data!$KM$1,IF(#REF!=Data!$KK$3,Data!$KN$1,IF(#REF!=Data!$KK$4,Data!$KP$1,IF(#REF!=Data!$KK$5,Data!$KQ$1))))</f>
        <v>#REF!</v>
      </c>
      <c r="AE45" s="33" t="str">
        <f>IF(D45=Data!$W$10,Data!$QJ$1,Data!$QK$1)</f>
        <v>RollerControl</v>
      </c>
      <c r="AH45" s="33" t="b">
        <f>IF(Q45=Data!$PX$2,Data!$PZ$1,IF(Q45=Data!$PX$3,Data!$PY$1,IF(Q45=Data!$PX$4,Data!$QA$1)))</f>
        <v>0</v>
      </c>
      <c r="AJ45" s="33" t="b">
        <f>IF(Q45=Data!$PX$3,Data!$QB$1,IF(Q45=Data!$PX$2,Data!$QC$1,IF(Q45=Data!$PX$4,Data!$QD$1)))</f>
        <v>0</v>
      </c>
      <c r="AL45" s="33" t="str">
        <f>IF(D45=Data!$W$3,Data!$QF$1,IF(D45=Data!$W$4,Data!$QF$1,IF(D45=Data!$W$5,Data!$QF$1,IF(D45=Data!$W$6,Data!$QF$1,IF(D45=Data!$W$7,Data!$QF$1,IF(D45=Data!$W$8,Data!$QF$1,IF(D45=Data!$W$9,Data!$QF$1,IF(D45=Data!$W$10,Data!$QE$1,IF(D45=Data!$W$11,Data!$QF$1,IF(D45=Data!$W$12,Data!$QF$1,IF(D45=Data!$W$13,Data!$QF$1,IF(D45=Data!$W$14,Data!$QF$1,IF(D45=Data!$W$15,Data!$QF$1,IF(D45=Data!$W$16,Data!$QF$1))))))))))))))</f>
        <v>RollerBracketType2</v>
      </c>
      <c r="AV45" s="40" t="e">
        <f>IF(AND(G45&lt;2130, OR(#REF!&lt;2100)),Data!$KS$1,Data!$KT$1)</f>
        <v>#REF!</v>
      </c>
      <c r="AW45" s="92" t="e">
        <f>MATCH(#REF!,Data!$LA$1:$LD$1,0)</f>
        <v>#REF!</v>
      </c>
      <c r="AX45" s="92" t="e">
        <f>MATCH('Panel Glide Blinds'!AV45,Data!$KZ$2:$KZ$3,0)</f>
        <v>#REF!</v>
      </c>
      <c r="AY45" s="92" t="e">
        <f>INDEX(Data!$LA$2:$LD$3,'Panel Glide Blinds'!AX45,'Panel Glide Blinds'!AW45)</f>
        <v>#REF!</v>
      </c>
      <c r="BB45" s="92" t="e">
        <f>IF(#REF!=Data!$QK$2,Data!$QL$1,IF(#REF!=Data!$QK$3,Data!$QM$1,IF(#REF!=Data!$QK$4,Data!$QN$1,IF(#REF!=Data!$QK$5,Data!$QO$1,IF(#REF!=Data!$QK$6,Data!$QP$1,IF(#REF!=Data!$QK$7,Data!$QQ$1,IF(#REF!=Data!$QK$8,Data!$QR$1,IF(#REF!=Data!$QK$9,Data!$QS$1,IF(#REF!=Data!$QK$10,Data!$QT$1,IF(#REF!=Data!$QK$11,Data!$QU$1))))))))))</f>
        <v>#REF!</v>
      </c>
      <c r="BC45" s="33" t="e">
        <f>IF(#REF!=Data!$QK$2,Data!$QL$17,IF(#REF!=Data!$QK$3,Data!$QM$17,IF(#REF!=Data!$QK$4,Data!$QN$17,IF(#REF!=Data!$QK$5,Data!$QO$17,IF(#REF!=Data!$QK$6,Data!$QP$17,IF(#REF!=Data!$QK$7,Data!$QQ$17,IF(#REF!=Data!$QK$8,Data!$QR$17,IF(#REF!=Data!$QK$9,Data!$QS$17,IF(#REF!=Data!$QK$10,Data!$QT$17,IF(#REF!=Data!$QK$11,Data!$QU$17))))))))))</f>
        <v>#REF!</v>
      </c>
      <c r="BD45" s="33" t="e">
        <f>IF(#REF!=Data!$PU$2,Data!$PW$1,IF(#REF!=Data!$PU$3,Data!$PW$1,IF(#REF!=Data!$PU$4,Data!$PV$1,IF(#REF!=Data!$PU$5,Data!$PV$1,))))</f>
        <v>#REF!</v>
      </c>
      <c r="BE45" s="33" t="e">
        <f>MATCH('Panel Glide Blinds'!D45,Data!$YK$2:$YK$15)</f>
        <v>#N/A</v>
      </c>
      <c r="BF45" s="33" t="e">
        <f>MATCH(O45,Data!$YL$1:$YM$1)</f>
        <v>#N/A</v>
      </c>
      <c r="BG45" s="33" t="e">
        <f>INDEX(Data!$YL$2:$YM$15,BE45,BF45)</f>
        <v>#N/A</v>
      </c>
      <c r="BH45" s="33" t="b">
        <f>IF(O45=Data!$ZF$1,Data!$ZD$1,IF(O45=Data!$ZF$2,Data!$ZE$1))</f>
        <v>0</v>
      </c>
      <c r="BI45" s="33" t="e">
        <f>VLOOKUP(H45,Data!$ZL$2:$ZM$8,2,FALSE)</f>
        <v>#N/A</v>
      </c>
      <c r="BJ45" s="92" t="e">
        <f>VLOOKUP(H45,Data!$ZW$2:$ZX$9,2,FALSE)</f>
        <v>#N/A</v>
      </c>
      <c r="BK45" s="92" t="e">
        <f>VLOOKUP(H45,Data!$ZW$2:$ZY$8,3,FALSE)</f>
        <v>#N/A</v>
      </c>
      <c r="BL45" s="92" t="str">
        <f t="shared" si="9"/>
        <v/>
      </c>
      <c r="BM45" s="92" t="str">
        <f t="shared" si="10"/>
        <v/>
      </c>
      <c r="BN45" s="92" t="str">
        <f t="shared" si="4"/>
        <v/>
      </c>
      <c r="BO45" s="33" t="e">
        <f t="shared" si="5"/>
        <v>#DIV/0!</v>
      </c>
      <c r="BP45" s="33" t="e">
        <f t="shared" si="6"/>
        <v>#DIV/0!</v>
      </c>
      <c r="BQ45" s="33" t="e">
        <f t="shared" si="7"/>
        <v>#DIV/0!</v>
      </c>
      <c r="BR45" s="33" t="str">
        <f t="shared" si="8"/>
        <v/>
      </c>
    </row>
    <row r="46" spans="1:70" ht="30" customHeight="1" thickTop="1" thickBot="1">
      <c r="A46" s="53">
        <v>39</v>
      </c>
      <c r="B46" s="13"/>
      <c r="C46" s="13"/>
      <c r="D46" s="19"/>
      <c r="E46" s="15"/>
      <c r="F46" s="14"/>
      <c r="G46" s="14"/>
      <c r="H46" s="14"/>
      <c r="I46" s="13"/>
      <c r="J46" s="14"/>
      <c r="K46" s="14"/>
      <c r="L46" s="484"/>
      <c r="M46" s="485"/>
      <c r="N46" s="15"/>
      <c r="O46" s="15"/>
      <c r="P46" s="15"/>
      <c r="Q46" s="13"/>
      <c r="R46" s="13"/>
      <c r="S46" s="13"/>
      <c r="T46" s="555"/>
      <c r="U46" s="556"/>
      <c r="V46" s="236"/>
      <c r="W46" s="237"/>
      <c r="X46" s="284" t="e">
        <f t="shared" si="2"/>
        <v>#N/A</v>
      </c>
      <c r="Y46" s="284" t="e">
        <f>VLOOKUP(Q46,Data!$QH$2:$QI$4,2,FALSE)</f>
        <v>#N/A</v>
      </c>
      <c r="AA46" s="284" t="e">
        <f t="shared" si="3"/>
        <v>#N/A</v>
      </c>
      <c r="AD46" s="92" t="e">
        <f>IF(#REF!=Data!$KK$2,Data!$KM$1,IF(#REF!=Data!$KK$3,Data!$KN$1,IF(#REF!=Data!$KK$4,Data!$KP$1,IF(#REF!=Data!$KK$5,Data!$KQ$1))))</f>
        <v>#REF!</v>
      </c>
      <c r="AE46" s="33" t="str">
        <f>IF(D46=Data!$W$10,Data!$QJ$1,Data!$QK$1)</f>
        <v>RollerControl</v>
      </c>
      <c r="AH46" s="33" t="b">
        <f>IF(Q46=Data!$PX$2,Data!$PZ$1,IF(Q46=Data!$PX$3,Data!$PY$1,IF(Q46=Data!$PX$4,Data!$QA$1)))</f>
        <v>0</v>
      </c>
      <c r="AJ46" s="33" t="b">
        <f>IF(Q46=Data!$PX$3,Data!$QB$1,IF(Q46=Data!$PX$2,Data!$QC$1,IF(Q46=Data!$PX$4,Data!$QD$1)))</f>
        <v>0</v>
      </c>
      <c r="AL46" s="33" t="str">
        <f>IF(D46=Data!$W$3,Data!$QF$1,IF(D46=Data!$W$4,Data!$QF$1,IF(D46=Data!$W$5,Data!$QF$1,IF(D46=Data!$W$6,Data!$QF$1,IF(D46=Data!$W$7,Data!$QF$1,IF(D46=Data!$W$8,Data!$QF$1,IF(D46=Data!$W$9,Data!$QF$1,IF(D46=Data!$W$10,Data!$QE$1,IF(D46=Data!$W$11,Data!$QF$1,IF(D46=Data!$W$12,Data!$QF$1,IF(D46=Data!$W$13,Data!$QF$1,IF(D46=Data!$W$14,Data!$QF$1,IF(D46=Data!$W$15,Data!$QF$1,IF(D46=Data!$W$16,Data!$QF$1))))))))))))))</f>
        <v>RollerBracketType2</v>
      </c>
      <c r="AV46" s="40" t="e">
        <f>IF(AND(G46&lt;2130, OR(#REF!&lt;2100)),Data!$KS$1,Data!$KT$1)</f>
        <v>#REF!</v>
      </c>
      <c r="AW46" s="92" t="e">
        <f>MATCH(#REF!,Data!$LA$1:$LD$1,0)</f>
        <v>#REF!</v>
      </c>
      <c r="AX46" s="92" t="e">
        <f>MATCH('Panel Glide Blinds'!AV46,Data!$KZ$2:$KZ$3,0)</f>
        <v>#REF!</v>
      </c>
      <c r="AY46" s="92" t="e">
        <f>INDEX(Data!$LA$2:$LD$3,'Panel Glide Blinds'!AX46,'Panel Glide Blinds'!AW46)</f>
        <v>#REF!</v>
      </c>
      <c r="BB46" s="92" t="e">
        <f>IF(#REF!=Data!$QK$2,Data!$QL$1,IF(#REF!=Data!$QK$3,Data!$QM$1,IF(#REF!=Data!$QK$4,Data!$QN$1,IF(#REF!=Data!$QK$5,Data!$QO$1,IF(#REF!=Data!$QK$6,Data!$QP$1,IF(#REF!=Data!$QK$7,Data!$QQ$1,IF(#REF!=Data!$QK$8,Data!$QR$1,IF(#REF!=Data!$QK$9,Data!$QS$1,IF(#REF!=Data!$QK$10,Data!$QT$1,IF(#REF!=Data!$QK$11,Data!$QU$1))))))))))</f>
        <v>#REF!</v>
      </c>
      <c r="BC46" s="33" t="e">
        <f>IF(#REF!=Data!$QK$2,Data!$QL$17,IF(#REF!=Data!$QK$3,Data!$QM$17,IF(#REF!=Data!$QK$4,Data!$QN$17,IF(#REF!=Data!$QK$5,Data!$QO$17,IF(#REF!=Data!$QK$6,Data!$QP$17,IF(#REF!=Data!$QK$7,Data!$QQ$17,IF(#REF!=Data!$QK$8,Data!$QR$17,IF(#REF!=Data!$QK$9,Data!$QS$17,IF(#REF!=Data!$QK$10,Data!$QT$17,IF(#REF!=Data!$QK$11,Data!$QU$17))))))))))</f>
        <v>#REF!</v>
      </c>
      <c r="BD46" s="33" t="e">
        <f>IF(#REF!=Data!$PU$2,Data!$PW$1,IF(#REF!=Data!$PU$3,Data!$PW$1,IF(#REF!=Data!$PU$4,Data!$PV$1,IF(#REF!=Data!$PU$5,Data!$PV$1,))))</f>
        <v>#REF!</v>
      </c>
      <c r="BE46" s="33" t="e">
        <f>MATCH('Panel Glide Blinds'!D46,Data!$YK$2:$YK$15)</f>
        <v>#N/A</v>
      </c>
      <c r="BF46" s="33" t="e">
        <f>MATCH(O46,Data!$YL$1:$YM$1)</f>
        <v>#N/A</v>
      </c>
      <c r="BG46" s="33" t="e">
        <f>INDEX(Data!$YL$2:$YM$15,BE46,BF46)</f>
        <v>#N/A</v>
      </c>
      <c r="BH46" s="33" t="b">
        <f>IF(O46=Data!$ZF$1,Data!$ZD$1,IF(O46=Data!$ZF$2,Data!$ZE$1))</f>
        <v>0</v>
      </c>
      <c r="BI46" s="33" t="e">
        <f>VLOOKUP(H46,Data!$ZL$2:$ZM$8,2,FALSE)</f>
        <v>#N/A</v>
      </c>
      <c r="BJ46" s="92" t="e">
        <f>VLOOKUP(H46,Data!$ZW$2:$ZX$9,2,FALSE)</f>
        <v>#N/A</v>
      </c>
      <c r="BK46" s="92" t="e">
        <f>VLOOKUP(H46,Data!$ZW$2:$ZY$8,3,FALSE)</f>
        <v>#N/A</v>
      </c>
      <c r="BL46" s="92" t="str">
        <f t="shared" si="9"/>
        <v/>
      </c>
      <c r="BM46" s="92" t="str">
        <f t="shared" si="10"/>
        <v/>
      </c>
      <c r="BN46" s="92" t="str">
        <f t="shared" si="4"/>
        <v/>
      </c>
      <c r="BO46" s="33" t="e">
        <f t="shared" si="5"/>
        <v>#DIV/0!</v>
      </c>
      <c r="BP46" s="33" t="e">
        <f t="shared" si="6"/>
        <v>#DIV/0!</v>
      </c>
      <c r="BQ46" s="33" t="e">
        <f t="shared" si="7"/>
        <v>#DIV/0!</v>
      </c>
      <c r="BR46" s="33" t="str">
        <f t="shared" si="8"/>
        <v/>
      </c>
    </row>
    <row r="47" spans="1:70" ht="30" customHeight="1" thickTop="1" thickBot="1">
      <c r="A47" s="53">
        <v>40</v>
      </c>
      <c r="B47" s="13"/>
      <c r="C47" s="13"/>
      <c r="D47" s="19"/>
      <c r="E47" s="15"/>
      <c r="F47" s="14"/>
      <c r="G47" s="14"/>
      <c r="H47" s="14"/>
      <c r="I47" s="13"/>
      <c r="J47" s="14"/>
      <c r="K47" s="14"/>
      <c r="L47" s="484"/>
      <c r="M47" s="485"/>
      <c r="N47" s="15"/>
      <c r="O47" s="15"/>
      <c r="P47" s="15"/>
      <c r="Q47" s="13"/>
      <c r="R47" s="13"/>
      <c r="S47" s="13"/>
      <c r="T47" s="555"/>
      <c r="U47" s="556"/>
      <c r="V47" s="236"/>
      <c r="W47" s="237"/>
      <c r="X47" s="284" t="e">
        <f t="shared" si="2"/>
        <v>#N/A</v>
      </c>
      <c r="Y47" s="284" t="e">
        <f>VLOOKUP(Q47,Data!$QH$2:$QI$4,2,FALSE)</f>
        <v>#N/A</v>
      </c>
      <c r="AA47" s="284" t="e">
        <f t="shared" si="3"/>
        <v>#N/A</v>
      </c>
      <c r="AD47" s="92" t="e">
        <f>IF(#REF!=Data!$KK$2,Data!$KM$1,IF(#REF!=Data!$KK$3,Data!$KN$1,IF(#REF!=Data!$KK$4,Data!$KP$1,IF(#REF!=Data!$KK$5,Data!$KQ$1))))</f>
        <v>#REF!</v>
      </c>
      <c r="AE47" s="33" t="str">
        <f>IF(D47=Data!$W$10,Data!$QJ$1,Data!$QK$1)</f>
        <v>RollerControl</v>
      </c>
      <c r="AH47" s="33" t="b">
        <f>IF(Q47=Data!$PX$2,Data!$PZ$1,IF(Q47=Data!$PX$3,Data!$PY$1,IF(Q47=Data!$PX$4,Data!$QA$1)))</f>
        <v>0</v>
      </c>
      <c r="AJ47" s="33" t="b">
        <f>IF(Q47=Data!$PX$3,Data!$QB$1,IF(Q47=Data!$PX$2,Data!$QC$1,IF(Q47=Data!$PX$4,Data!$QD$1)))</f>
        <v>0</v>
      </c>
      <c r="AL47" s="33" t="str">
        <f>IF(D47=Data!$W$3,Data!$QF$1,IF(D47=Data!$W$4,Data!$QF$1,IF(D47=Data!$W$5,Data!$QF$1,IF(D47=Data!$W$6,Data!$QF$1,IF(D47=Data!$W$7,Data!$QF$1,IF(D47=Data!$W$8,Data!$QF$1,IF(D47=Data!$W$9,Data!$QF$1,IF(D47=Data!$W$10,Data!$QE$1,IF(D47=Data!$W$11,Data!$QF$1,IF(D47=Data!$W$12,Data!$QF$1,IF(D47=Data!$W$13,Data!$QF$1,IF(D47=Data!$W$14,Data!$QF$1,IF(D47=Data!$W$15,Data!$QF$1,IF(D47=Data!$W$16,Data!$QF$1))))))))))))))</f>
        <v>RollerBracketType2</v>
      </c>
      <c r="AV47" s="40" t="e">
        <f>IF(AND(G47&lt;2130, OR(#REF!&lt;2100)),Data!$KS$1,Data!$KT$1)</f>
        <v>#REF!</v>
      </c>
      <c r="AW47" s="92" t="e">
        <f>MATCH(#REF!,Data!$LA$1:$LD$1,0)</f>
        <v>#REF!</v>
      </c>
      <c r="AX47" s="92" t="e">
        <f>MATCH('Panel Glide Blinds'!AV47,Data!$KZ$2:$KZ$3,0)</f>
        <v>#REF!</v>
      </c>
      <c r="AY47" s="92" t="e">
        <f>INDEX(Data!$LA$2:$LD$3,'Panel Glide Blinds'!AX47,'Panel Glide Blinds'!AW47)</f>
        <v>#REF!</v>
      </c>
      <c r="BB47" s="92" t="e">
        <f>IF(#REF!=Data!$QK$2,Data!$QL$1,IF(#REF!=Data!$QK$3,Data!$QM$1,IF(#REF!=Data!$QK$4,Data!$QN$1,IF(#REF!=Data!$QK$5,Data!$QO$1,IF(#REF!=Data!$QK$6,Data!$QP$1,IF(#REF!=Data!$QK$7,Data!$QQ$1,IF(#REF!=Data!$QK$8,Data!$QR$1,IF(#REF!=Data!$QK$9,Data!$QS$1,IF(#REF!=Data!$QK$10,Data!$QT$1,IF(#REF!=Data!$QK$11,Data!$QU$1))))))))))</f>
        <v>#REF!</v>
      </c>
      <c r="BC47" s="33" t="e">
        <f>IF(#REF!=Data!$QK$2,Data!$QL$17,IF(#REF!=Data!$QK$3,Data!$QM$17,IF(#REF!=Data!$QK$4,Data!$QN$17,IF(#REF!=Data!$QK$5,Data!$QO$17,IF(#REF!=Data!$QK$6,Data!$QP$17,IF(#REF!=Data!$QK$7,Data!$QQ$17,IF(#REF!=Data!$QK$8,Data!$QR$17,IF(#REF!=Data!$QK$9,Data!$QS$17,IF(#REF!=Data!$QK$10,Data!$QT$17,IF(#REF!=Data!$QK$11,Data!$QU$17))))))))))</f>
        <v>#REF!</v>
      </c>
      <c r="BD47" s="33" t="e">
        <f>IF(#REF!=Data!$PU$2,Data!$PW$1,IF(#REF!=Data!$PU$3,Data!$PW$1,IF(#REF!=Data!$PU$4,Data!$PV$1,IF(#REF!=Data!$PU$5,Data!$PV$1,))))</f>
        <v>#REF!</v>
      </c>
      <c r="BE47" s="33" t="e">
        <f>MATCH('Panel Glide Blinds'!D47,Data!$YK$2:$YK$15)</f>
        <v>#N/A</v>
      </c>
      <c r="BF47" s="33" t="e">
        <f>MATCH(O47,Data!$YL$1:$YM$1)</f>
        <v>#N/A</v>
      </c>
      <c r="BG47" s="33" t="e">
        <f>INDEX(Data!$YL$2:$YM$15,BE47,BF47)</f>
        <v>#N/A</v>
      </c>
      <c r="BH47" s="33" t="b">
        <f>IF(O47=Data!$ZF$1,Data!$ZD$1,IF(O47=Data!$ZF$2,Data!$ZE$1))</f>
        <v>0</v>
      </c>
      <c r="BI47" s="33" t="e">
        <f>VLOOKUP(H47,Data!$ZL$2:$ZM$8,2,FALSE)</f>
        <v>#N/A</v>
      </c>
      <c r="BJ47" s="92" t="e">
        <f>VLOOKUP(H47,Data!$ZW$2:$ZX$9,2,FALSE)</f>
        <v>#N/A</v>
      </c>
      <c r="BK47" s="92" t="e">
        <f>VLOOKUP(H47,Data!$ZW$2:$ZY$8,3,FALSE)</f>
        <v>#N/A</v>
      </c>
      <c r="BL47" s="92" t="str">
        <f t="shared" si="9"/>
        <v/>
      </c>
      <c r="BM47" s="92" t="str">
        <f t="shared" si="10"/>
        <v/>
      </c>
      <c r="BN47" s="92" t="str">
        <f t="shared" si="4"/>
        <v/>
      </c>
      <c r="BO47" s="33" t="e">
        <f t="shared" si="5"/>
        <v>#DIV/0!</v>
      </c>
      <c r="BP47" s="33" t="e">
        <f t="shared" si="6"/>
        <v>#DIV/0!</v>
      </c>
      <c r="BQ47" s="33" t="e">
        <f t="shared" si="7"/>
        <v>#DIV/0!</v>
      </c>
      <c r="BR47" s="33" t="str">
        <f t="shared" si="8"/>
        <v/>
      </c>
    </row>
    <row r="48" spans="1:70" ht="30" customHeight="1" thickTop="1" thickBot="1">
      <c r="A48" s="53">
        <v>41</v>
      </c>
      <c r="B48" s="13"/>
      <c r="C48" s="13"/>
      <c r="D48" s="19"/>
      <c r="E48" s="15"/>
      <c r="F48" s="14"/>
      <c r="G48" s="14"/>
      <c r="H48" s="14"/>
      <c r="I48" s="13"/>
      <c r="J48" s="14"/>
      <c r="K48" s="14"/>
      <c r="L48" s="484"/>
      <c r="M48" s="485"/>
      <c r="N48" s="15"/>
      <c r="O48" s="15"/>
      <c r="P48" s="15"/>
      <c r="Q48" s="13"/>
      <c r="R48" s="13"/>
      <c r="S48" s="13"/>
      <c r="T48" s="555"/>
      <c r="U48" s="556"/>
      <c r="V48" s="236"/>
      <c r="W48" s="237"/>
      <c r="X48" s="284" t="e">
        <f t="shared" si="2"/>
        <v>#N/A</v>
      </c>
      <c r="Y48" s="284" t="e">
        <f>VLOOKUP(Q48,Data!$QH$2:$QI$4,2,FALSE)</f>
        <v>#N/A</v>
      </c>
      <c r="AA48" s="284" t="e">
        <f t="shared" si="3"/>
        <v>#N/A</v>
      </c>
      <c r="AD48" s="92" t="e">
        <f>IF(#REF!=Data!$KK$2,Data!$KM$1,IF(#REF!=Data!$KK$3,Data!$KN$1,IF(#REF!=Data!$KK$4,Data!$KP$1,IF(#REF!=Data!$KK$5,Data!$KQ$1))))</f>
        <v>#REF!</v>
      </c>
      <c r="AE48" s="33" t="str">
        <f>IF(D48=Data!$W$10,Data!$QJ$1,Data!$QK$1)</f>
        <v>RollerControl</v>
      </c>
      <c r="AH48" s="33" t="b">
        <f>IF(Q48=Data!$PX$2,Data!$PZ$1,IF(Q48=Data!$PX$3,Data!$PY$1,IF(Q48=Data!$PX$4,Data!$QA$1)))</f>
        <v>0</v>
      </c>
      <c r="AJ48" s="33" t="b">
        <f>IF(Q48=Data!$PX$3,Data!$QB$1,IF(Q48=Data!$PX$2,Data!$QC$1,IF(Q48=Data!$PX$4,Data!$QD$1)))</f>
        <v>0</v>
      </c>
      <c r="AL48" s="33" t="str">
        <f>IF(D48=Data!$W$3,Data!$QF$1,IF(D48=Data!$W$4,Data!$QF$1,IF(D48=Data!$W$5,Data!$QF$1,IF(D48=Data!$W$6,Data!$QF$1,IF(D48=Data!$W$7,Data!$QF$1,IF(D48=Data!$W$8,Data!$QF$1,IF(D48=Data!$W$9,Data!$QF$1,IF(D48=Data!$W$10,Data!$QE$1,IF(D48=Data!$W$11,Data!$QF$1,IF(D48=Data!$W$12,Data!$QF$1,IF(D48=Data!$W$13,Data!$QF$1,IF(D48=Data!$W$14,Data!$QF$1,IF(D48=Data!$W$15,Data!$QF$1,IF(D48=Data!$W$16,Data!$QF$1))))))))))))))</f>
        <v>RollerBracketType2</v>
      </c>
      <c r="AV48" s="40" t="e">
        <f>IF(AND(G48&lt;2130, OR(#REF!&lt;2100)),Data!$KS$1,Data!$KT$1)</f>
        <v>#REF!</v>
      </c>
      <c r="AW48" s="92" t="e">
        <f>MATCH(#REF!,Data!$LA$1:$LD$1,0)</f>
        <v>#REF!</v>
      </c>
      <c r="AX48" s="92" t="e">
        <f>MATCH('Panel Glide Blinds'!AV48,Data!$KZ$2:$KZ$3,0)</f>
        <v>#REF!</v>
      </c>
      <c r="AY48" s="92" t="e">
        <f>INDEX(Data!$LA$2:$LD$3,'Panel Glide Blinds'!AX48,'Panel Glide Blinds'!AW48)</f>
        <v>#REF!</v>
      </c>
      <c r="BB48" s="92" t="e">
        <f>IF(#REF!=Data!$QK$2,Data!$QL$1,IF(#REF!=Data!$QK$3,Data!$QM$1,IF(#REF!=Data!$QK$4,Data!$QN$1,IF(#REF!=Data!$QK$5,Data!$QO$1,IF(#REF!=Data!$QK$6,Data!$QP$1,IF(#REF!=Data!$QK$7,Data!$QQ$1,IF(#REF!=Data!$QK$8,Data!$QR$1,IF(#REF!=Data!$QK$9,Data!$QS$1,IF(#REF!=Data!$QK$10,Data!$QT$1,IF(#REF!=Data!$QK$11,Data!$QU$1))))))))))</f>
        <v>#REF!</v>
      </c>
      <c r="BC48" s="33" t="e">
        <f>IF(#REF!=Data!$QK$2,Data!$QL$17,IF(#REF!=Data!$QK$3,Data!$QM$17,IF(#REF!=Data!$QK$4,Data!$QN$17,IF(#REF!=Data!$QK$5,Data!$QO$17,IF(#REF!=Data!$QK$6,Data!$QP$17,IF(#REF!=Data!$QK$7,Data!$QQ$17,IF(#REF!=Data!$QK$8,Data!$QR$17,IF(#REF!=Data!$QK$9,Data!$QS$17,IF(#REF!=Data!$QK$10,Data!$QT$17,IF(#REF!=Data!$QK$11,Data!$QU$17))))))))))</f>
        <v>#REF!</v>
      </c>
      <c r="BD48" s="33" t="e">
        <f>IF(#REF!=Data!$PU$2,Data!$PW$1,IF(#REF!=Data!$PU$3,Data!$PW$1,IF(#REF!=Data!$PU$4,Data!$PV$1,IF(#REF!=Data!$PU$5,Data!$PV$1,))))</f>
        <v>#REF!</v>
      </c>
      <c r="BE48" s="33" t="e">
        <f>MATCH('Panel Glide Blinds'!D48,Data!$YK$2:$YK$15)</f>
        <v>#N/A</v>
      </c>
      <c r="BF48" s="33" t="e">
        <f>MATCH(O48,Data!$YL$1:$YM$1)</f>
        <v>#N/A</v>
      </c>
      <c r="BG48" s="33" t="e">
        <f>INDEX(Data!$YL$2:$YM$15,BE48,BF48)</f>
        <v>#N/A</v>
      </c>
      <c r="BH48" s="33" t="b">
        <f>IF(O48=Data!$ZF$1,Data!$ZD$1,IF(O48=Data!$ZF$2,Data!$ZE$1))</f>
        <v>0</v>
      </c>
      <c r="BI48" s="33" t="e">
        <f>VLOOKUP(H48,Data!$ZL$2:$ZM$8,2,FALSE)</f>
        <v>#N/A</v>
      </c>
      <c r="BJ48" s="92" t="e">
        <f>VLOOKUP(H48,Data!$ZW$2:$ZX$9,2,FALSE)</f>
        <v>#N/A</v>
      </c>
      <c r="BK48" s="92" t="e">
        <f>VLOOKUP(H48,Data!$ZW$2:$ZY$8,3,FALSE)</f>
        <v>#N/A</v>
      </c>
      <c r="BL48" s="92" t="str">
        <f t="shared" si="9"/>
        <v/>
      </c>
      <c r="BM48" s="92" t="str">
        <f t="shared" si="10"/>
        <v/>
      </c>
      <c r="BN48" s="92" t="str">
        <f t="shared" si="4"/>
        <v/>
      </c>
      <c r="BO48" s="33" t="e">
        <f t="shared" si="5"/>
        <v>#DIV/0!</v>
      </c>
      <c r="BP48" s="33" t="e">
        <f t="shared" si="6"/>
        <v>#DIV/0!</v>
      </c>
      <c r="BQ48" s="33" t="e">
        <f t="shared" si="7"/>
        <v>#DIV/0!</v>
      </c>
      <c r="BR48" s="33" t="str">
        <f t="shared" si="8"/>
        <v/>
      </c>
    </row>
    <row r="49" spans="1:70" ht="30" customHeight="1" thickTop="1" thickBot="1">
      <c r="A49" s="53">
        <v>42</v>
      </c>
      <c r="B49" s="13"/>
      <c r="C49" s="13"/>
      <c r="D49" s="19"/>
      <c r="E49" s="15"/>
      <c r="F49" s="14"/>
      <c r="G49" s="14"/>
      <c r="H49" s="14"/>
      <c r="I49" s="13"/>
      <c r="J49" s="14"/>
      <c r="K49" s="14"/>
      <c r="L49" s="484"/>
      <c r="M49" s="485"/>
      <c r="N49" s="15"/>
      <c r="O49" s="15"/>
      <c r="P49" s="15"/>
      <c r="Q49" s="13"/>
      <c r="R49" s="13"/>
      <c r="S49" s="13"/>
      <c r="T49" s="555"/>
      <c r="U49" s="556"/>
      <c r="V49" s="236"/>
      <c r="W49" s="237"/>
      <c r="X49" s="284" t="e">
        <f t="shared" si="2"/>
        <v>#N/A</v>
      </c>
      <c r="Y49" s="284" t="e">
        <f>VLOOKUP(Q49,Data!$QH$2:$QI$4,2,FALSE)</f>
        <v>#N/A</v>
      </c>
      <c r="AA49" s="284" t="e">
        <f t="shared" si="3"/>
        <v>#N/A</v>
      </c>
      <c r="AD49" s="92" t="e">
        <f>IF(#REF!=Data!$KK$2,Data!$KM$1,IF(#REF!=Data!$KK$3,Data!$KN$1,IF(#REF!=Data!$KK$4,Data!$KP$1,IF(#REF!=Data!$KK$5,Data!$KQ$1))))</f>
        <v>#REF!</v>
      </c>
      <c r="AE49" s="33" t="str">
        <f>IF(D49=Data!$W$10,Data!$QJ$1,Data!$QK$1)</f>
        <v>RollerControl</v>
      </c>
      <c r="AH49" s="33" t="b">
        <f>IF(Q49=Data!$PX$2,Data!$PZ$1,IF(Q49=Data!$PX$3,Data!$PY$1,IF(Q49=Data!$PX$4,Data!$QA$1)))</f>
        <v>0</v>
      </c>
      <c r="AJ49" s="33" t="b">
        <f>IF(Q49=Data!$PX$3,Data!$QB$1,IF(Q49=Data!$PX$2,Data!$QC$1,IF(Q49=Data!$PX$4,Data!$QD$1)))</f>
        <v>0</v>
      </c>
      <c r="AL49" s="33" t="str">
        <f>IF(D49=Data!$W$3,Data!$QF$1,IF(D49=Data!$W$4,Data!$QF$1,IF(D49=Data!$W$5,Data!$QF$1,IF(D49=Data!$W$6,Data!$QF$1,IF(D49=Data!$W$7,Data!$QF$1,IF(D49=Data!$W$8,Data!$QF$1,IF(D49=Data!$W$9,Data!$QF$1,IF(D49=Data!$W$10,Data!$QE$1,IF(D49=Data!$W$11,Data!$QF$1,IF(D49=Data!$W$12,Data!$QF$1,IF(D49=Data!$W$13,Data!$QF$1,IF(D49=Data!$W$14,Data!$QF$1,IF(D49=Data!$W$15,Data!$QF$1,IF(D49=Data!$W$16,Data!$QF$1))))))))))))))</f>
        <v>RollerBracketType2</v>
      </c>
      <c r="AV49" s="40" t="e">
        <f>IF(AND(G49&lt;2130, OR(#REF!&lt;2100)),Data!$KS$1,Data!$KT$1)</f>
        <v>#REF!</v>
      </c>
      <c r="AW49" s="92" t="e">
        <f>MATCH(#REF!,Data!$LA$1:$LD$1,0)</f>
        <v>#REF!</v>
      </c>
      <c r="AX49" s="92" t="e">
        <f>MATCH('Panel Glide Blinds'!AV49,Data!$KZ$2:$KZ$3,0)</f>
        <v>#REF!</v>
      </c>
      <c r="AY49" s="92" t="e">
        <f>INDEX(Data!$LA$2:$LD$3,'Panel Glide Blinds'!AX49,'Panel Glide Blinds'!AW49)</f>
        <v>#REF!</v>
      </c>
      <c r="BB49" s="92" t="e">
        <f>IF(#REF!=Data!$QK$2,Data!$QL$1,IF(#REF!=Data!$QK$3,Data!$QM$1,IF(#REF!=Data!$QK$4,Data!$QN$1,IF(#REF!=Data!$QK$5,Data!$QO$1,IF(#REF!=Data!$QK$6,Data!$QP$1,IF(#REF!=Data!$QK$7,Data!$QQ$1,IF(#REF!=Data!$QK$8,Data!$QR$1,IF(#REF!=Data!$QK$9,Data!$QS$1,IF(#REF!=Data!$QK$10,Data!$QT$1,IF(#REF!=Data!$QK$11,Data!$QU$1))))))))))</f>
        <v>#REF!</v>
      </c>
      <c r="BC49" s="33" t="e">
        <f>IF(#REF!=Data!$QK$2,Data!$QL$17,IF(#REF!=Data!$QK$3,Data!$QM$17,IF(#REF!=Data!$QK$4,Data!$QN$17,IF(#REF!=Data!$QK$5,Data!$QO$17,IF(#REF!=Data!$QK$6,Data!$QP$17,IF(#REF!=Data!$QK$7,Data!$QQ$17,IF(#REF!=Data!$QK$8,Data!$QR$17,IF(#REF!=Data!$QK$9,Data!$QS$17,IF(#REF!=Data!$QK$10,Data!$QT$17,IF(#REF!=Data!$QK$11,Data!$QU$17))))))))))</f>
        <v>#REF!</v>
      </c>
      <c r="BD49" s="33" t="e">
        <f>IF(#REF!=Data!$PU$2,Data!$PW$1,IF(#REF!=Data!$PU$3,Data!$PW$1,IF(#REF!=Data!$PU$4,Data!$PV$1,IF(#REF!=Data!$PU$5,Data!$PV$1,))))</f>
        <v>#REF!</v>
      </c>
      <c r="BE49" s="33" t="e">
        <f>MATCH('Panel Glide Blinds'!D49,Data!$YK$2:$YK$15)</f>
        <v>#N/A</v>
      </c>
      <c r="BF49" s="33" t="e">
        <f>MATCH(O49,Data!$YL$1:$YM$1)</f>
        <v>#N/A</v>
      </c>
      <c r="BG49" s="33" t="e">
        <f>INDEX(Data!$YL$2:$YM$15,BE49,BF49)</f>
        <v>#N/A</v>
      </c>
      <c r="BH49" s="33" t="b">
        <f>IF(O49=Data!$ZF$1,Data!$ZD$1,IF(O49=Data!$ZF$2,Data!$ZE$1))</f>
        <v>0</v>
      </c>
      <c r="BI49" s="33" t="e">
        <f>VLOOKUP(H49,Data!$ZL$2:$ZM$8,2,FALSE)</f>
        <v>#N/A</v>
      </c>
      <c r="BJ49" s="92" t="e">
        <f>VLOOKUP(H49,Data!$ZW$2:$ZX$9,2,FALSE)</f>
        <v>#N/A</v>
      </c>
      <c r="BK49" s="92" t="e">
        <f>VLOOKUP(H49,Data!$ZW$2:$ZY$8,3,FALSE)</f>
        <v>#N/A</v>
      </c>
      <c r="BL49" s="92" t="str">
        <f t="shared" si="9"/>
        <v/>
      </c>
      <c r="BM49" s="92" t="str">
        <f t="shared" si="10"/>
        <v/>
      </c>
      <c r="BN49" s="92" t="str">
        <f t="shared" si="4"/>
        <v/>
      </c>
      <c r="BO49" s="33" t="e">
        <f t="shared" si="5"/>
        <v>#DIV/0!</v>
      </c>
      <c r="BP49" s="33" t="e">
        <f t="shared" si="6"/>
        <v>#DIV/0!</v>
      </c>
      <c r="BQ49" s="33" t="e">
        <f t="shared" si="7"/>
        <v>#DIV/0!</v>
      </c>
      <c r="BR49" s="33" t="str">
        <f t="shared" si="8"/>
        <v/>
      </c>
    </row>
    <row r="50" spans="1:70" ht="30" customHeight="1" thickTop="1" thickBot="1">
      <c r="A50" s="53">
        <v>43</v>
      </c>
      <c r="B50" s="13"/>
      <c r="C50" s="13"/>
      <c r="D50" s="19"/>
      <c r="E50" s="15"/>
      <c r="F50" s="14"/>
      <c r="G50" s="14"/>
      <c r="H50" s="14"/>
      <c r="I50" s="13"/>
      <c r="J50" s="14"/>
      <c r="K50" s="14"/>
      <c r="L50" s="484"/>
      <c r="M50" s="485"/>
      <c r="N50" s="15"/>
      <c r="O50" s="15"/>
      <c r="P50" s="15"/>
      <c r="Q50" s="13"/>
      <c r="R50" s="13"/>
      <c r="S50" s="13"/>
      <c r="T50" s="555"/>
      <c r="U50" s="556"/>
      <c r="V50" s="236"/>
      <c r="W50" s="237"/>
      <c r="X50" s="284" t="e">
        <f t="shared" si="2"/>
        <v>#N/A</v>
      </c>
      <c r="Y50" s="284" t="e">
        <f>VLOOKUP(Q50,Data!$QH$2:$QI$4,2,FALSE)</f>
        <v>#N/A</v>
      </c>
      <c r="AA50" s="284" t="e">
        <f t="shared" si="3"/>
        <v>#N/A</v>
      </c>
      <c r="AD50" s="92" t="e">
        <f>IF(#REF!=Data!$KK$2,Data!$KM$1,IF(#REF!=Data!$KK$3,Data!$KN$1,IF(#REF!=Data!$KK$4,Data!$KP$1,IF(#REF!=Data!$KK$5,Data!$KQ$1))))</f>
        <v>#REF!</v>
      </c>
      <c r="AE50" s="33" t="str">
        <f>IF(D50=Data!$W$10,Data!$QJ$1,Data!$QK$1)</f>
        <v>RollerControl</v>
      </c>
      <c r="AH50" s="33" t="b">
        <f>IF(Q50=Data!$PX$2,Data!$PZ$1,IF(Q50=Data!$PX$3,Data!$PY$1,IF(Q50=Data!$PX$4,Data!$QA$1)))</f>
        <v>0</v>
      </c>
      <c r="AJ50" s="33" t="b">
        <f>IF(Q50=Data!$PX$3,Data!$QB$1,IF(Q50=Data!$PX$2,Data!$QC$1,IF(Q50=Data!$PX$4,Data!$QD$1)))</f>
        <v>0</v>
      </c>
      <c r="AL50" s="33" t="str">
        <f>IF(D50=Data!$W$3,Data!$QF$1,IF(D50=Data!$W$4,Data!$QF$1,IF(D50=Data!$W$5,Data!$QF$1,IF(D50=Data!$W$6,Data!$QF$1,IF(D50=Data!$W$7,Data!$QF$1,IF(D50=Data!$W$8,Data!$QF$1,IF(D50=Data!$W$9,Data!$QF$1,IF(D50=Data!$W$10,Data!$QE$1,IF(D50=Data!$W$11,Data!$QF$1,IF(D50=Data!$W$12,Data!$QF$1,IF(D50=Data!$W$13,Data!$QF$1,IF(D50=Data!$W$14,Data!$QF$1,IF(D50=Data!$W$15,Data!$QF$1,IF(D50=Data!$W$16,Data!$QF$1))))))))))))))</f>
        <v>RollerBracketType2</v>
      </c>
      <c r="AV50" s="40" t="e">
        <f>IF(AND(G50&lt;2130, OR(#REF!&lt;2100)),Data!$KS$1,Data!$KT$1)</f>
        <v>#REF!</v>
      </c>
      <c r="AW50" s="92" t="e">
        <f>MATCH(#REF!,Data!$LA$1:$LD$1,0)</f>
        <v>#REF!</v>
      </c>
      <c r="AX50" s="92" t="e">
        <f>MATCH('Panel Glide Blinds'!AV50,Data!$KZ$2:$KZ$3,0)</f>
        <v>#REF!</v>
      </c>
      <c r="AY50" s="92" t="e">
        <f>INDEX(Data!$LA$2:$LD$3,'Panel Glide Blinds'!AX50,'Panel Glide Blinds'!AW50)</f>
        <v>#REF!</v>
      </c>
      <c r="BB50" s="92" t="e">
        <f>IF(#REF!=Data!$QK$2,Data!$QL$1,IF(#REF!=Data!$QK$3,Data!$QM$1,IF(#REF!=Data!$QK$4,Data!$QN$1,IF(#REF!=Data!$QK$5,Data!$QO$1,IF(#REF!=Data!$QK$6,Data!$QP$1,IF(#REF!=Data!$QK$7,Data!$QQ$1,IF(#REF!=Data!$QK$8,Data!$QR$1,IF(#REF!=Data!$QK$9,Data!$QS$1,IF(#REF!=Data!$QK$10,Data!$QT$1,IF(#REF!=Data!$QK$11,Data!$QU$1))))))))))</f>
        <v>#REF!</v>
      </c>
      <c r="BC50" s="33" t="e">
        <f>IF(#REF!=Data!$QK$2,Data!$QL$17,IF(#REF!=Data!$QK$3,Data!$QM$17,IF(#REF!=Data!$QK$4,Data!$QN$17,IF(#REF!=Data!$QK$5,Data!$QO$17,IF(#REF!=Data!$QK$6,Data!$QP$17,IF(#REF!=Data!$QK$7,Data!$QQ$17,IF(#REF!=Data!$QK$8,Data!$QR$17,IF(#REF!=Data!$QK$9,Data!$QS$17,IF(#REF!=Data!$QK$10,Data!$QT$17,IF(#REF!=Data!$QK$11,Data!$QU$17))))))))))</f>
        <v>#REF!</v>
      </c>
      <c r="BD50" s="33" t="e">
        <f>IF(#REF!=Data!$PU$2,Data!$PW$1,IF(#REF!=Data!$PU$3,Data!$PW$1,IF(#REF!=Data!$PU$4,Data!$PV$1,IF(#REF!=Data!$PU$5,Data!$PV$1,))))</f>
        <v>#REF!</v>
      </c>
      <c r="BE50" s="33" t="e">
        <f>MATCH('Panel Glide Blinds'!D50,Data!$YK$2:$YK$15)</f>
        <v>#N/A</v>
      </c>
      <c r="BF50" s="33" t="e">
        <f>MATCH(O50,Data!$YL$1:$YM$1)</f>
        <v>#N/A</v>
      </c>
      <c r="BG50" s="33" t="e">
        <f>INDEX(Data!$YL$2:$YM$15,BE50,BF50)</f>
        <v>#N/A</v>
      </c>
      <c r="BH50" s="33" t="b">
        <f>IF(O50=Data!$ZF$1,Data!$ZD$1,IF(O50=Data!$ZF$2,Data!$ZE$1))</f>
        <v>0</v>
      </c>
      <c r="BI50" s="33" t="e">
        <f>VLOOKUP(H50,Data!$ZL$2:$ZM$8,2,FALSE)</f>
        <v>#N/A</v>
      </c>
      <c r="BJ50" s="92" t="e">
        <f>VLOOKUP(H50,Data!$ZW$2:$ZX$9,2,FALSE)</f>
        <v>#N/A</v>
      </c>
      <c r="BK50" s="92" t="e">
        <f>VLOOKUP(H50,Data!$ZW$2:$ZY$8,3,FALSE)</f>
        <v>#N/A</v>
      </c>
      <c r="BL50" s="92" t="str">
        <f t="shared" si="9"/>
        <v/>
      </c>
      <c r="BM50" s="92" t="str">
        <f t="shared" si="10"/>
        <v/>
      </c>
      <c r="BN50" s="92" t="str">
        <f t="shared" si="4"/>
        <v/>
      </c>
      <c r="BO50" s="33" t="e">
        <f t="shared" si="5"/>
        <v>#DIV/0!</v>
      </c>
      <c r="BP50" s="33" t="e">
        <f t="shared" si="6"/>
        <v>#DIV/0!</v>
      </c>
      <c r="BQ50" s="33" t="e">
        <f t="shared" si="7"/>
        <v>#DIV/0!</v>
      </c>
      <c r="BR50" s="33" t="str">
        <f t="shared" si="8"/>
        <v/>
      </c>
    </row>
    <row r="51" spans="1:70" ht="30" customHeight="1" thickTop="1" thickBot="1">
      <c r="A51" s="53">
        <v>44</v>
      </c>
      <c r="B51" s="13"/>
      <c r="C51" s="13"/>
      <c r="D51" s="19"/>
      <c r="E51" s="15"/>
      <c r="F51" s="14"/>
      <c r="G51" s="14"/>
      <c r="H51" s="14"/>
      <c r="I51" s="13"/>
      <c r="J51" s="14"/>
      <c r="K51" s="14"/>
      <c r="L51" s="484"/>
      <c r="M51" s="485"/>
      <c r="N51" s="15"/>
      <c r="O51" s="15"/>
      <c r="P51" s="15"/>
      <c r="Q51" s="13"/>
      <c r="R51" s="13"/>
      <c r="S51" s="13"/>
      <c r="T51" s="555"/>
      <c r="U51" s="556"/>
      <c r="V51" s="236"/>
      <c r="W51" s="237"/>
      <c r="X51" s="284" t="e">
        <f t="shared" si="2"/>
        <v>#N/A</v>
      </c>
      <c r="Y51" s="284" t="e">
        <f>VLOOKUP(Q51,Data!$QH$2:$QI$4,2,FALSE)</f>
        <v>#N/A</v>
      </c>
      <c r="AA51" s="284" t="e">
        <f t="shared" si="3"/>
        <v>#N/A</v>
      </c>
      <c r="AD51" s="92" t="e">
        <f>IF(#REF!=Data!$KK$2,Data!$KM$1,IF(#REF!=Data!$KK$3,Data!$KN$1,IF(#REF!=Data!$KK$4,Data!$KP$1,IF(#REF!=Data!$KK$5,Data!$KQ$1))))</f>
        <v>#REF!</v>
      </c>
      <c r="AE51" s="33" t="str">
        <f>IF(D51=Data!$W$10,Data!$QJ$1,Data!$QK$1)</f>
        <v>RollerControl</v>
      </c>
      <c r="AH51" s="33" t="b">
        <f>IF(Q51=Data!$PX$2,Data!$PZ$1,IF(Q51=Data!$PX$3,Data!$PY$1,IF(Q51=Data!$PX$4,Data!$QA$1)))</f>
        <v>0</v>
      </c>
      <c r="AJ51" s="33" t="b">
        <f>IF(Q51=Data!$PX$3,Data!$QB$1,IF(Q51=Data!$PX$2,Data!$QC$1,IF(Q51=Data!$PX$4,Data!$QD$1)))</f>
        <v>0</v>
      </c>
      <c r="AL51" s="33" t="str">
        <f>IF(D51=Data!$W$3,Data!$QF$1,IF(D51=Data!$W$4,Data!$QF$1,IF(D51=Data!$W$5,Data!$QF$1,IF(D51=Data!$W$6,Data!$QF$1,IF(D51=Data!$W$7,Data!$QF$1,IF(D51=Data!$W$8,Data!$QF$1,IF(D51=Data!$W$9,Data!$QF$1,IF(D51=Data!$W$10,Data!$QE$1,IF(D51=Data!$W$11,Data!$QF$1,IF(D51=Data!$W$12,Data!$QF$1,IF(D51=Data!$W$13,Data!$QF$1,IF(D51=Data!$W$14,Data!$QF$1,IF(D51=Data!$W$15,Data!$QF$1,IF(D51=Data!$W$16,Data!$QF$1))))))))))))))</f>
        <v>RollerBracketType2</v>
      </c>
      <c r="AV51" s="40" t="e">
        <f>IF(AND(G51&lt;2130, OR(#REF!&lt;2100)),Data!$KS$1,Data!$KT$1)</f>
        <v>#REF!</v>
      </c>
      <c r="AW51" s="92" t="e">
        <f>MATCH(#REF!,Data!$LA$1:$LD$1,0)</f>
        <v>#REF!</v>
      </c>
      <c r="AX51" s="92" t="e">
        <f>MATCH('Panel Glide Blinds'!AV51,Data!$KZ$2:$KZ$3,0)</f>
        <v>#REF!</v>
      </c>
      <c r="AY51" s="92" t="e">
        <f>INDEX(Data!$LA$2:$LD$3,'Panel Glide Blinds'!AX51,'Panel Glide Blinds'!AW51)</f>
        <v>#REF!</v>
      </c>
      <c r="BB51" s="92" t="e">
        <f>IF(#REF!=Data!$QK$2,Data!$QL$1,IF(#REF!=Data!$QK$3,Data!$QM$1,IF(#REF!=Data!$QK$4,Data!$QN$1,IF(#REF!=Data!$QK$5,Data!$QO$1,IF(#REF!=Data!$QK$6,Data!$QP$1,IF(#REF!=Data!$QK$7,Data!$QQ$1,IF(#REF!=Data!$QK$8,Data!$QR$1,IF(#REF!=Data!$QK$9,Data!$QS$1,IF(#REF!=Data!$QK$10,Data!$QT$1,IF(#REF!=Data!$QK$11,Data!$QU$1))))))))))</f>
        <v>#REF!</v>
      </c>
      <c r="BC51" s="33" t="e">
        <f>IF(#REF!=Data!$QK$2,Data!$QL$17,IF(#REF!=Data!$QK$3,Data!$QM$17,IF(#REF!=Data!$QK$4,Data!$QN$17,IF(#REF!=Data!$QK$5,Data!$QO$17,IF(#REF!=Data!$QK$6,Data!$QP$17,IF(#REF!=Data!$QK$7,Data!$QQ$17,IF(#REF!=Data!$QK$8,Data!$QR$17,IF(#REF!=Data!$QK$9,Data!$QS$17,IF(#REF!=Data!$QK$10,Data!$QT$17,IF(#REF!=Data!$QK$11,Data!$QU$17))))))))))</f>
        <v>#REF!</v>
      </c>
      <c r="BD51" s="33" t="e">
        <f>IF(#REF!=Data!$PU$2,Data!$PW$1,IF(#REF!=Data!$PU$3,Data!$PW$1,IF(#REF!=Data!$PU$4,Data!$PV$1,IF(#REF!=Data!$PU$5,Data!$PV$1,))))</f>
        <v>#REF!</v>
      </c>
      <c r="BE51" s="33" t="e">
        <f>MATCH('Panel Glide Blinds'!D51,Data!$YK$2:$YK$15)</f>
        <v>#N/A</v>
      </c>
      <c r="BF51" s="33" t="e">
        <f>MATCH(O51,Data!$YL$1:$YM$1)</f>
        <v>#N/A</v>
      </c>
      <c r="BG51" s="33" t="e">
        <f>INDEX(Data!$YL$2:$YM$15,BE51,BF51)</f>
        <v>#N/A</v>
      </c>
      <c r="BH51" s="33" t="b">
        <f>IF(O51=Data!$ZF$1,Data!$ZD$1,IF(O51=Data!$ZF$2,Data!$ZE$1))</f>
        <v>0</v>
      </c>
      <c r="BI51" s="33" t="e">
        <f>VLOOKUP(H51,Data!$ZL$2:$ZM$8,2,FALSE)</f>
        <v>#N/A</v>
      </c>
      <c r="BJ51" s="92" t="e">
        <f>VLOOKUP(H51,Data!$ZW$2:$ZX$9,2,FALSE)</f>
        <v>#N/A</v>
      </c>
      <c r="BK51" s="92" t="e">
        <f>VLOOKUP(H51,Data!$ZW$2:$ZY$8,3,FALSE)</f>
        <v>#N/A</v>
      </c>
      <c r="BL51" s="92" t="str">
        <f t="shared" si="9"/>
        <v/>
      </c>
      <c r="BM51" s="92" t="str">
        <f t="shared" si="10"/>
        <v/>
      </c>
      <c r="BN51" s="92" t="str">
        <f t="shared" si="4"/>
        <v/>
      </c>
      <c r="BO51" s="33" t="e">
        <f t="shared" si="5"/>
        <v>#DIV/0!</v>
      </c>
      <c r="BP51" s="33" t="e">
        <f t="shared" si="6"/>
        <v>#DIV/0!</v>
      </c>
      <c r="BQ51" s="33" t="e">
        <f t="shared" si="7"/>
        <v>#DIV/0!</v>
      </c>
      <c r="BR51" s="33" t="str">
        <f t="shared" si="8"/>
        <v/>
      </c>
    </row>
    <row r="52" spans="1:70" ht="30" customHeight="1" thickTop="1" thickBot="1">
      <c r="A52" s="53">
        <v>45</v>
      </c>
      <c r="B52" s="13"/>
      <c r="C52" s="13"/>
      <c r="D52" s="19"/>
      <c r="E52" s="15"/>
      <c r="F52" s="14"/>
      <c r="G52" s="14"/>
      <c r="H52" s="14"/>
      <c r="I52" s="13"/>
      <c r="J52" s="14"/>
      <c r="K52" s="14"/>
      <c r="L52" s="484"/>
      <c r="M52" s="485"/>
      <c r="N52" s="15"/>
      <c r="O52" s="15"/>
      <c r="P52" s="15"/>
      <c r="Q52" s="13"/>
      <c r="R52" s="13"/>
      <c r="S52" s="13"/>
      <c r="T52" s="555"/>
      <c r="U52" s="556"/>
      <c r="V52" s="236"/>
      <c r="W52" s="237"/>
      <c r="X52" s="284" t="e">
        <f t="shared" si="2"/>
        <v>#N/A</v>
      </c>
      <c r="Y52" s="284" t="e">
        <f>VLOOKUP(Q52,Data!$QH$2:$QI$4,2,FALSE)</f>
        <v>#N/A</v>
      </c>
      <c r="AA52" s="284" t="e">
        <f t="shared" si="3"/>
        <v>#N/A</v>
      </c>
      <c r="AD52" s="92" t="e">
        <f>IF(#REF!=Data!$KK$2,Data!$KM$1,IF(#REF!=Data!$KK$3,Data!$KN$1,IF(#REF!=Data!$KK$4,Data!$KP$1,IF(#REF!=Data!$KK$5,Data!$KQ$1))))</f>
        <v>#REF!</v>
      </c>
      <c r="AE52" s="33" t="str">
        <f>IF(D52=Data!$W$10,Data!$QJ$1,Data!$QK$1)</f>
        <v>RollerControl</v>
      </c>
      <c r="AH52" s="33" t="b">
        <f>IF(Q52=Data!$PX$2,Data!$PZ$1,IF(Q52=Data!$PX$3,Data!$PY$1,IF(Q52=Data!$PX$4,Data!$QA$1)))</f>
        <v>0</v>
      </c>
      <c r="AJ52" s="33" t="b">
        <f>IF(Q52=Data!$PX$3,Data!$QB$1,IF(Q52=Data!$PX$2,Data!$QC$1,IF(Q52=Data!$PX$4,Data!$QD$1)))</f>
        <v>0</v>
      </c>
      <c r="AL52" s="33" t="str">
        <f>IF(D52=Data!$W$3,Data!$QF$1,IF(D52=Data!$W$4,Data!$QF$1,IF(D52=Data!$W$5,Data!$QF$1,IF(D52=Data!$W$6,Data!$QF$1,IF(D52=Data!$W$7,Data!$QF$1,IF(D52=Data!$W$8,Data!$QF$1,IF(D52=Data!$W$9,Data!$QF$1,IF(D52=Data!$W$10,Data!$QE$1,IF(D52=Data!$W$11,Data!$QF$1,IF(D52=Data!$W$12,Data!$QF$1,IF(D52=Data!$W$13,Data!$QF$1,IF(D52=Data!$W$14,Data!$QF$1,IF(D52=Data!$W$15,Data!$QF$1,IF(D52=Data!$W$16,Data!$QF$1))))))))))))))</f>
        <v>RollerBracketType2</v>
      </c>
      <c r="AV52" s="40" t="e">
        <f>IF(AND(G52&lt;2130, OR(#REF!&lt;2100)),Data!$KS$1,Data!$KT$1)</f>
        <v>#REF!</v>
      </c>
      <c r="AW52" s="92" t="e">
        <f>MATCH(#REF!,Data!$LA$1:$LD$1,0)</f>
        <v>#REF!</v>
      </c>
      <c r="AX52" s="92" t="e">
        <f>MATCH('Panel Glide Blinds'!AV52,Data!$KZ$2:$KZ$3,0)</f>
        <v>#REF!</v>
      </c>
      <c r="AY52" s="92" t="e">
        <f>INDEX(Data!$LA$2:$LD$3,'Panel Glide Blinds'!AX52,'Panel Glide Blinds'!AW52)</f>
        <v>#REF!</v>
      </c>
      <c r="BB52" s="92" t="e">
        <f>IF(#REF!=Data!$QK$2,Data!$QL$1,IF(#REF!=Data!$QK$3,Data!$QM$1,IF(#REF!=Data!$QK$4,Data!$QN$1,IF(#REF!=Data!$QK$5,Data!$QO$1,IF(#REF!=Data!$QK$6,Data!$QP$1,IF(#REF!=Data!$QK$7,Data!$QQ$1,IF(#REF!=Data!$QK$8,Data!$QR$1,IF(#REF!=Data!$QK$9,Data!$QS$1,IF(#REF!=Data!$QK$10,Data!$QT$1,IF(#REF!=Data!$QK$11,Data!$QU$1))))))))))</f>
        <v>#REF!</v>
      </c>
      <c r="BC52" s="33" t="e">
        <f>IF(#REF!=Data!$QK$2,Data!$QL$17,IF(#REF!=Data!$QK$3,Data!$QM$17,IF(#REF!=Data!$QK$4,Data!$QN$17,IF(#REF!=Data!$QK$5,Data!$QO$17,IF(#REF!=Data!$QK$6,Data!$QP$17,IF(#REF!=Data!$QK$7,Data!$QQ$17,IF(#REF!=Data!$QK$8,Data!$QR$17,IF(#REF!=Data!$QK$9,Data!$QS$17,IF(#REF!=Data!$QK$10,Data!$QT$17,IF(#REF!=Data!$QK$11,Data!$QU$17))))))))))</f>
        <v>#REF!</v>
      </c>
      <c r="BD52" s="33" t="e">
        <f>IF(#REF!=Data!$PU$2,Data!$PW$1,IF(#REF!=Data!$PU$3,Data!$PW$1,IF(#REF!=Data!$PU$4,Data!$PV$1,IF(#REF!=Data!$PU$5,Data!$PV$1,))))</f>
        <v>#REF!</v>
      </c>
      <c r="BE52" s="33" t="e">
        <f>MATCH('Panel Glide Blinds'!D52,Data!$YK$2:$YK$15)</f>
        <v>#N/A</v>
      </c>
      <c r="BF52" s="33" t="e">
        <f>MATCH(O52,Data!$YL$1:$YM$1)</f>
        <v>#N/A</v>
      </c>
      <c r="BG52" s="33" t="e">
        <f>INDEX(Data!$YL$2:$YM$15,BE52,BF52)</f>
        <v>#N/A</v>
      </c>
      <c r="BH52" s="33" t="b">
        <f>IF(O52=Data!$ZF$1,Data!$ZD$1,IF(O52=Data!$ZF$2,Data!$ZE$1))</f>
        <v>0</v>
      </c>
      <c r="BI52" s="33" t="e">
        <f>VLOOKUP(H52,Data!$ZL$2:$ZM$8,2,FALSE)</f>
        <v>#N/A</v>
      </c>
      <c r="BJ52" s="92" t="e">
        <f>VLOOKUP(H52,Data!$ZW$2:$ZX$9,2,FALSE)</f>
        <v>#N/A</v>
      </c>
      <c r="BK52" s="92" t="e">
        <f>VLOOKUP(H52,Data!$ZW$2:$ZY$8,3,FALSE)</f>
        <v>#N/A</v>
      </c>
      <c r="BL52" s="92" t="str">
        <f t="shared" si="9"/>
        <v/>
      </c>
      <c r="BM52" s="92" t="str">
        <f t="shared" si="10"/>
        <v/>
      </c>
      <c r="BN52" s="92" t="str">
        <f t="shared" si="4"/>
        <v/>
      </c>
      <c r="BO52" s="33" t="e">
        <f t="shared" si="5"/>
        <v>#DIV/0!</v>
      </c>
      <c r="BP52" s="33" t="e">
        <f t="shared" si="6"/>
        <v>#DIV/0!</v>
      </c>
      <c r="BQ52" s="33" t="e">
        <f t="shared" si="7"/>
        <v>#DIV/0!</v>
      </c>
      <c r="BR52" s="33" t="str">
        <f t="shared" si="8"/>
        <v/>
      </c>
    </row>
    <row r="53" spans="1:70" ht="30" customHeight="1" thickTop="1" thickBot="1">
      <c r="A53" s="53">
        <v>46</v>
      </c>
      <c r="B53" s="13"/>
      <c r="C53" s="13"/>
      <c r="D53" s="19"/>
      <c r="E53" s="15"/>
      <c r="F53" s="14"/>
      <c r="G53" s="14"/>
      <c r="H53" s="14"/>
      <c r="I53" s="13"/>
      <c r="J53" s="14"/>
      <c r="K53" s="14"/>
      <c r="L53" s="484"/>
      <c r="M53" s="485"/>
      <c r="N53" s="15"/>
      <c r="O53" s="15"/>
      <c r="P53" s="15"/>
      <c r="Q53" s="13"/>
      <c r="R53" s="13"/>
      <c r="S53" s="13"/>
      <c r="T53" s="555"/>
      <c r="U53" s="556"/>
      <c r="V53" s="236"/>
      <c r="W53" s="237"/>
      <c r="X53" s="284" t="e">
        <f t="shared" si="2"/>
        <v>#N/A</v>
      </c>
      <c r="Y53" s="284" t="e">
        <f>VLOOKUP(Q53,Data!$QH$2:$QI$4,2,FALSE)</f>
        <v>#N/A</v>
      </c>
      <c r="AA53" s="284" t="e">
        <f t="shared" si="3"/>
        <v>#N/A</v>
      </c>
      <c r="AD53" s="92" t="e">
        <f>IF(#REF!=Data!$KK$2,Data!$KM$1,IF(#REF!=Data!$KK$3,Data!$KN$1,IF(#REF!=Data!$KK$4,Data!$KP$1,IF(#REF!=Data!$KK$5,Data!$KQ$1))))</f>
        <v>#REF!</v>
      </c>
      <c r="AE53" s="33" t="str">
        <f>IF(D53=Data!$W$10,Data!$QJ$1,Data!$QK$1)</f>
        <v>RollerControl</v>
      </c>
      <c r="AH53" s="33" t="b">
        <f>IF(Q53=Data!$PX$2,Data!$PZ$1,IF(Q53=Data!$PX$3,Data!$PY$1,IF(Q53=Data!$PX$4,Data!$QA$1)))</f>
        <v>0</v>
      </c>
      <c r="AJ53" s="33" t="b">
        <f>IF(Q53=Data!$PX$3,Data!$QB$1,IF(Q53=Data!$PX$2,Data!$QC$1,IF(Q53=Data!$PX$4,Data!$QD$1)))</f>
        <v>0</v>
      </c>
      <c r="AL53" s="33" t="str">
        <f>IF(D53=Data!$W$3,Data!$QF$1,IF(D53=Data!$W$4,Data!$QF$1,IF(D53=Data!$W$5,Data!$QF$1,IF(D53=Data!$W$6,Data!$QF$1,IF(D53=Data!$W$7,Data!$QF$1,IF(D53=Data!$W$8,Data!$QF$1,IF(D53=Data!$W$9,Data!$QF$1,IF(D53=Data!$W$10,Data!$QE$1,IF(D53=Data!$W$11,Data!$QF$1,IF(D53=Data!$W$12,Data!$QF$1,IF(D53=Data!$W$13,Data!$QF$1,IF(D53=Data!$W$14,Data!$QF$1,IF(D53=Data!$W$15,Data!$QF$1,IF(D53=Data!$W$16,Data!$QF$1))))))))))))))</f>
        <v>RollerBracketType2</v>
      </c>
      <c r="AV53" s="40" t="e">
        <f>IF(AND(G53&lt;2130, OR(#REF!&lt;2100)),Data!$KS$1,Data!$KT$1)</f>
        <v>#REF!</v>
      </c>
      <c r="AW53" s="92" t="e">
        <f>MATCH(#REF!,Data!$LA$1:$LD$1,0)</f>
        <v>#REF!</v>
      </c>
      <c r="AX53" s="92" t="e">
        <f>MATCH('Panel Glide Blinds'!AV53,Data!$KZ$2:$KZ$3,0)</f>
        <v>#REF!</v>
      </c>
      <c r="AY53" s="92" t="e">
        <f>INDEX(Data!$LA$2:$LD$3,'Panel Glide Blinds'!AX53,'Panel Glide Blinds'!AW53)</f>
        <v>#REF!</v>
      </c>
      <c r="BB53" s="92" t="e">
        <f>IF(#REF!=Data!$QK$2,Data!$QL$1,IF(#REF!=Data!$QK$3,Data!$QM$1,IF(#REF!=Data!$QK$4,Data!$QN$1,IF(#REF!=Data!$QK$5,Data!$QO$1,IF(#REF!=Data!$QK$6,Data!$QP$1,IF(#REF!=Data!$QK$7,Data!$QQ$1,IF(#REF!=Data!$QK$8,Data!$QR$1,IF(#REF!=Data!$QK$9,Data!$QS$1,IF(#REF!=Data!$QK$10,Data!$QT$1,IF(#REF!=Data!$QK$11,Data!$QU$1))))))))))</f>
        <v>#REF!</v>
      </c>
      <c r="BC53" s="33" t="e">
        <f>IF(#REF!=Data!$QK$2,Data!$QL$17,IF(#REF!=Data!$QK$3,Data!$QM$17,IF(#REF!=Data!$QK$4,Data!$QN$17,IF(#REF!=Data!$QK$5,Data!$QO$17,IF(#REF!=Data!$QK$6,Data!$QP$17,IF(#REF!=Data!$QK$7,Data!$QQ$17,IF(#REF!=Data!$QK$8,Data!$QR$17,IF(#REF!=Data!$QK$9,Data!$QS$17,IF(#REF!=Data!$QK$10,Data!$QT$17,IF(#REF!=Data!$QK$11,Data!$QU$17))))))))))</f>
        <v>#REF!</v>
      </c>
      <c r="BD53" s="33" t="e">
        <f>IF(#REF!=Data!$PU$2,Data!$PW$1,IF(#REF!=Data!$PU$3,Data!$PW$1,IF(#REF!=Data!$PU$4,Data!$PV$1,IF(#REF!=Data!$PU$5,Data!$PV$1,))))</f>
        <v>#REF!</v>
      </c>
      <c r="BE53" s="33" t="e">
        <f>MATCH('Panel Glide Blinds'!D53,Data!$YK$2:$YK$15)</f>
        <v>#N/A</v>
      </c>
      <c r="BF53" s="33" t="e">
        <f>MATCH(O53,Data!$YL$1:$YM$1)</f>
        <v>#N/A</v>
      </c>
      <c r="BG53" s="33" t="e">
        <f>INDEX(Data!$YL$2:$YM$15,BE53,BF53)</f>
        <v>#N/A</v>
      </c>
      <c r="BH53" s="33" t="b">
        <f>IF(O53=Data!$ZF$1,Data!$ZD$1,IF(O53=Data!$ZF$2,Data!$ZE$1))</f>
        <v>0</v>
      </c>
      <c r="BI53" s="33" t="e">
        <f>VLOOKUP(H53,Data!$ZL$2:$ZM$8,2,FALSE)</f>
        <v>#N/A</v>
      </c>
      <c r="BJ53" s="92" t="e">
        <f>VLOOKUP(H53,Data!$ZW$2:$ZX$9,2,FALSE)</f>
        <v>#N/A</v>
      </c>
      <c r="BK53" s="92" t="e">
        <f>VLOOKUP(H53,Data!$ZW$2:$ZY$8,3,FALSE)</f>
        <v>#N/A</v>
      </c>
      <c r="BL53" s="92" t="str">
        <f t="shared" si="9"/>
        <v/>
      </c>
      <c r="BM53" s="92" t="str">
        <f t="shared" si="10"/>
        <v/>
      </c>
      <c r="BN53" s="92" t="str">
        <f t="shared" si="4"/>
        <v/>
      </c>
      <c r="BO53" s="33" t="e">
        <f t="shared" si="5"/>
        <v>#DIV/0!</v>
      </c>
      <c r="BP53" s="33" t="e">
        <f t="shared" si="6"/>
        <v>#DIV/0!</v>
      </c>
      <c r="BQ53" s="33" t="e">
        <f t="shared" si="7"/>
        <v>#DIV/0!</v>
      </c>
      <c r="BR53" s="33" t="str">
        <f t="shared" si="8"/>
        <v/>
      </c>
    </row>
    <row r="54" spans="1:70" ht="30" customHeight="1" thickTop="1" thickBot="1">
      <c r="A54" s="53">
        <v>47</v>
      </c>
      <c r="B54" s="13"/>
      <c r="C54" s="13"/>
      <c r="D54" s="19"/>
      <c r="E54" s="15"/>
      <c r="F54" s="14"/>
      <c r="G54" s="14"/>
      <c r="H54" s="14"/>
      <c r="I54" s="13"/>
      <c r="J54" s="14"/>
      <c r="K54" s="14"/>
      <c r="L54" s="484"/>
      <c r="M54" s="485"/>
      <c r="N54" s="15"/>
      <c r="O54" s="15"/>
      <c r="P54" s="15"/>
      <c r="Q54" s="13"/>
      <c r="R54" s="13"/>
      <c r="S54" s="13"/>
      <c r="T54" s="555"/>
      <c r="U54" s="556"/>
      <c r="V54" s="236"/>
      <c r="W54" s="237"/>
      <c r="X54" s="284" t="e">
        <f t="shared" si="2"/>
        <v>#N/A</v>
      </c>
      <c r="Y54" s="284" t="e">
        <f>VLOOKUP(Q54,Data!$QH$2:$QI$4,2,FALSE)</f>
        <v>#N/A</v>
      </c>
      <c r="AA54" s="284" t="e">
        <f t="shared" si="3"/>
        <v>#N/A</v>
      </c>
      <c r="AD54" s="92" t="e">
        <f>IF(#REF!=Data!$KK$2,Data!$KM$1,IF(#REF!=Data!$KK$3,Data!$KN$1,IF(#REF!=Data!$KK$4,Data!$KP$1,IF(#REF!=Data!$KK$5,Data!$KQ$1))))</f>
        <v>#REF!</v>
      </c>
      <c r="AE54" s="33" t="str">
        <f>IF(D54=Data!$W$10,Data!$QJ$1,Data!$QK$1)</f>
        <v>RollerControl</v>
      </c>
      <c r="AH54" s="33" t="b">
        <f>IF(Q54=Data!$PX$2,Data!$PZ$1,IF(Q54=Data!$PX$3,Data!$PY$1,IF(Q54=Data!$PX$4,Data!$QA$1)))</f>
        <v>0</v>
      </c>
      <c r="AJ54" s="33" t="b">
        <f>IF(Q54=Data!$PX$3,Data!$QB$1,IF(Q54=Data!$PX$2,Data!$QC$1,IF(Q54=Data!$PX$4,Data!$QD$1)))</f>
        <v>0</v>
      </c>
      <c r="AL54" s="33" t="str">
        <f>IF(D54=Data!$W$3,Data!$QF$1,IF(D54=Data!$W$4,Data!$QF$1,IF(D54=Data!$W$5,Data!$QF$1,IF(D54=Data!$W$6,Data!$QF$1,IF(D54=Data!$W$7,Data!$QF$1,IF(D54=Data!$W$8,Data!$QF$1,IF(D54=Data!$W$9,Data!$QF$1,IF(D54=Data!$W$10,Data!$QE$1,IF(D54=Data!$W$11,Data!$QF$1,IF(D54=Data!$W$12,Data!$QF$1,IF(D54=Data!$W$13,Data!$QF$1,IF(D54=Data!$W$14,Data!$QF$1,IF(D54=Data!$W$15,Data!$QF$1,IF(D54=Data!$W$16,Data!$QF$1))))))))))))))</f>
        <v>RollerBracketType2</v>
      </c>
      <c r="AV54" s="40" t="e">
        <f>IF(AND(G54&lt;2130, OR(#REF!&lt;2100)),Data!$KS$1,Data!$KT$1)</f>
        <v>#REF!</v>
      </c>
      <c r="AW54" s="92" t="e">
        <f>MATCH(#REF!,Data!$LA$1:$LD$1,0)</f>
        <v>#REF!</v>
      </c>
      <c r="AX54" s="92" t="e">
        <f>MATCH('Panel Glide Blinds'!AV54,Data!$KZ$2:$KZ$3,0)</f>
        <v>#REF!</v>
      </c>
      <c r="AY54" s="92" t="e">
        <f>INDEX(Data!$LA$2:$LD$3,'Panel Glide Blinds'!AX54,'Panel Glide Blinds'!AW54)</f>
        <v>#REF!</v>
      </c>
      <c r="BB54" s="92" t="e">
        <f>IF(#REF!=Data!$QK$2,Data!$QL$1,IF(#REF!=Data!$QK$3,Data!$QM$1,IF(#REF!=Data!$QK$4,Data!$QN$1,IF(#REF!=Data!$QK$5,Data!$QO$1,IF(#REF!=Data!$QK$6,Data!$QP$1,IF(#REF!=Data!$QK$7,Data!$QQ$1,IF(#REF!=Data!$QK$8,Data!$QR$1,IF(#REF!=Data!$QK$9,Data!$QS$1,IF(#REF!=Data!$QK$10,Data!$QT$1,IF(#REF!=Data!$QK$11,Data!$QU$1))))))))))</f>
        <v>#REF!</v>
      </c>
      <c r="BC54" s="33" t="e">
        <f>IF(#REF!=Data!$QK$2,Data!$QL$17,IF(#REF!=Data!$QK$3,Data!$QM$17,IF(#REF!=Data!$QK$4,Data!$QN$17,IF(#REF!=Data!$QK$5,Data!$QO$17,IF(#REF!=Data!$QK$6,Data!$QP$17,IF(#REF!=Data!$QK$7,Data!$QQ$17,IF(#REF!=Data!$QK$8,Data!$QR$17,IF(#REF!=Data!$QK$9,Data!$QS$17,IF(#REF!=Data!$QK$10,Data!$QT$17,IF(#REF!=Data!$QK$11,Data!$QU$17))))))))))</f>
        <v>#REF!</v>
      </c>
      <c r="BD54" s="33" t="e">
        <f>IF(#REF!=Data!$PU$2,Data!$PW$1,IF(#REF!=Data!$PU$3,Data!$PW$1,IF(#REF!=Data!$PU$4,Data!$PV$1,IF(#REF!=Data!$PU$5,Data!$PV$1,))))</f>
        <v>#REF!</v>
      </c>
      <c r="BE54" s="33" t="e">
        <f>MATCH('Panel Glide Blinds'!D54,Data!$YK$2:$YK$15)</f>
        <v>#N/A</v>
      </c>
      <c r="BF54" s="33" t="e">
        <f>MATCH(O54,Data!$YL$1:$YM$1)</f>
        <v>#N/A</v>
      </c>
      <c r="BG54" s="33" t="e">
        <f>INDEX(Data!$YL$2:$YM$15,BE54,BF54)</f>
        <v>#N/A</v>
      </c>
      <c r="BH54" s="33" t="b">
        <f>IF(O54=Data!$ZF$1,Data!$ZD$1,IF(O54=Data!$ZF$2,Data!$ZE$1))</f>
        <v>0</v>
      </c>
      <c r="BI54" s="33" t="e">
        <f>VLOOKUP(H54,Data!$ZL$2:$ZM$8,2,FALSE)</f>
        <v>#N/A</v>
      </c>
      <c r="BJ54" s="92" t="e">
        <f>VLOOKUP(H54,Data!$ZW$2:$ZX$9,2,FALSE)</f>
        <v>#N/A</v>
      </c>
      <c r="BK54" s="92" t="e">
        <f>VLOOKUP(H54,Data!$ZW$2:$ZY$8,3,FALSE)</f>
        <v>#N/A</v>
      </c>
      <c r="BL54" s="92" t="str">
        <f t="shared" si="9"/>
        <v/>
      </c>
      <c r="BM54" s="92" t="str">
        <f t="shared" si="10"/>
        <v/>
      </c>
      <c r="BN54" s="92" t="str">
        <f t="shared" si="4"/>
        <v/>
      </c>
      <c r="BO54" s="33" t="e">
        <f t="shared" si="5"/>
        <v>#DIV/0!</v>
      </c>
      <c r="BP54" s="33" t="e">
        <f t="shared" si="6"/>
        <v>#DIV/0!</v>
      </c>
      <c r="BQ54" s="33" t="e">
        <f t="shared" si="7"/>
        <v>#DIV/0!</v>
      </c>
      <c r="BR54" s="33" t="str">
        <f t="shared" si="8"/>
        <v/>
      </c>
    </row>
    <row r="55" spans="1:70" ht="30" customHeight="1" thickTop="1" thickBot="1">
      <c r="A55" s="53">
        <v>48</v>
      </c>
      <c r="B55" s="13"/>
      <c r="C55" s="13"/>
      <c r="D55" s="19"/>
      <c r="E55" s="15"/>
      <c r="F55" s="14"/>
      <c r="G55" s="14"/>
      <c r="H55" s="14"/>
      <c r="I55" s="13"/>
      <c r="J55" s="14"/>
      <c r="K55" s="14"/>
      <c r="L55" s="484"/>
      <c r="M55" s="485"/>
      <c r="N55" s="15"/>
      <c r="O55" s="15"/>
      <c r="P55" s="15"/>
      <c r="Q55" s="13"/>
      <c r="R55" s="13"/>
      <c r="S55" s="13"/>
      <c r="T55" s="555"/>
      <c r="U55" s="556"/>
      <c r="V55" s="236"/>
      <c r="W55" s="237"/>
      <c r="X55" s="284" t="e">
        <f t="shared" si="2"/>
        <v>#N/A</v>
      </c>
      <c r="Y55" s="284" t="e">
        <f>VLOOKUP(Q55,Data!$QH$2:$QI$4,2,FALSE)</f>
        <v>#N/A</v>
      </c>
      <c r="AA55" s="284" t="e">
        <f t="shared" si="3"/>
        <v>#N/A</v>
      </c>
      <c r="AD55" s="92" t="e">
        <f>IF(#REF!=Data!$KK$2,Data!$KM$1,IF(#REF!=Data!$KK$3,Data!$KN$1,IF(#REF!=Data!$KK$4,Data!$KP$1,IF(#REF!=Data!$KK$5,Data!$KQ$1))))</f>
        <v>#REF!</v>
      </c>
      <c r="AE55" s="33" t="str">
        <f>IF(D55=Data!$W$10,Data!$QJ$1,Data!$QK$1)</f>
        <v>RollerControl</v>
      </c>
      <c r="AH55" s="33" t="b">
        <f>IF(Q55=Data!$PX$2,Data!$PZ$1,IF(Q55=Data!$PX$3,Data!$PY$1,IF(Q55=Data!$PX$4,Data!$QA$1)))</f>
        <v>0</v>
      </c>
      <c r="AJ55" s="33" t="b">
        <f>IF(Q55=Data!$PX$3,Data!$QB$1,IF(Q55=Data!$PX$2,Data!$QC$1,IF(Q55=Data!$PX$4,Data!$QD$1)))</f>
        <v>0</v>
      </c>
      <c r="AL55" s="33" t="str">
        <f>IF(D55=Data!$W$3,Data!$QF$1,IF(D55=Data!$W$4,Data!$QF$1,IF(D55=Data!$W$5,Data!$QF$1,IF(D55=Data!$W$6,Data!$QF$1,IF(D55=Data!$W$7,Data!$QF$1,IF(D55=Data!$W$8,Data!$QF$1,IF(D55=Data!$W$9,Data!$QF$1,IF(D55=Data!$W$10,Data!$QE$1,IF(D55=Data!$W$11,Data!$QF$1,IF(D55=Data!$W$12,Data!$QF$1,IF(D55=Data!$W$13,Data!$QF$1,IF(D55=Data!$W$14,Data!$QF$1,IF(D55=Data!$W$15,Data!$QF$1,IF(D55=Data!$W$16,Data!$QF$1))))))))))))))</f>
        <v>RollerBracketType2</v>
      </c>
      <c r="AV55" s="40" t="e">
        <f>IF(AND(G55&lt;2130, OR(#REF!&lt;2100)),Data!$KS$1,Data!$KT$1)</f>
        <v>#REF!</v>
      </c>
      <c r="AW55" s="92" t="e">
        <f>MATCH(#REF!,Data!$LA$1:$LD$1,0)</f>
        <v>#REF!</v>
      </c>
      <c r="AX55" s="92" t="e">
        <f>MATCH('Panel Glide Blinds'!AV55,Data!$KZ$2:$KZ$3,0)</f>
        <v>#REF!</v>
      </c>
      <c r="AY55" s="92" t="e">
        <f>INDEX(Data!$LA$2:$LD$3,'Panel Glide Blinds'!AX55,'Panel Glide Blinds'!AW55)</f>
        <v>#REF!</v>
      </c>
      <c r="BB55" s="92" t="e">
        <f>IF(#REF!=Data!$QK$2,Data!$QL$1,IF(#REF!=Data!$QK$3,Data!$QM$1,IF(#REF!=Data!$QK$4,Data!$QN$1,IF(#REF!=Data!$QK$5,Data!$QO$1,IF(#REF!=Data!$QK$6,Data!$QP$1,IF(#REF!=Data!$QK$7,Data!$QQ$1,IF(#REF!=Data!$QK$8,Data!$QR$1,IF(#REF!=Data!$QK$9,Data!$QS$1,IF(#REF!=Data!$QK$10,Data!$QT$1,IF(#REF!=Data!$QK$11,Data!$QU$1))))))))))</f>
        <v>#REF!</v>
      </c>
      <c r="BC55" s="33" t="e">
        <f>IF(#REF!=Data!$QK$2,Data!$QL$17,IF(#REF!=Data!$QK$3,Data!$QM$17,IF(#REF!=Data!$QK$4,Data!$QN$17,IF(#REF!=Data!$QK$5,Data!$QO$17,IF(#REF!=Data!$QK$6,Data!$QP$17,IF(#REF!=Data!$QK$7,Data!$QQ$17,IF(#REF!=Data!$QK$8,Data!$QR$17,IF(#REF!=Data!$QK$9,Data!$QS$17,IF(#REF!=Data!$QK$10,Data!$QT$17,IF(#REF!=Data!$QK$11,Data!$QU$17))))))))))</f>
        <v>#REF!</v>
      </c>
      <c r="BD55" s="33" t="e">
        <f>IF(#REF!=Data!$PU$2,Data!$PW$1,IF(#REF!=Data!$PU$3,Data!$PW$1,IF(#REF!=Data!$PU$4,Data!$PV$1,IF(#REF!=Data!$PU$5,Data!$PV$1,))))</f>
        <v>#REF!</v>
      </c>
      <c r="BE55" s="33" t="e">
        <f>MATCH('Panel Glide Blinds'!D55,Data!$YK$2:$YK$15)</f>
        <v>#N/A</v>
      </c>
      <c r="BF55" s="33" t="e">
        <f>MATCH(O55,Data!$YL$1:$YM$1)</f>
        <v>#N/A</v>
      </c>
      <c r="BG55" s="33" t="e">
        <f>INDEX(Data!$YL$2:$YM$15,BE55,BF55)</f>
        <v>#N/A</v>
      </c>
      <c r="BH55" s="33" t="b">
        <f>IF(O55=Data!$ZF$1,Data!$ZD$1,IF(O55=Data!$ZF$2,Data!$ZE$1))</f>
        <v>0</v>
      </c>
      <c r="BI55" s="33" t="e">
        <f>VLOOKUP(H55,Data!$ZL$2:$ZM$8,2,FALSE)</f>
        <v>#N/A</v>
      </c>
      <c r="BJ55" s="92" t="e">
        <f>VLOOKUP(H55,Data!$ZW$2:$ZX$9,2,FALSE)</f>
        <v>#N/A</v>
      </c>
      <c r="BK55" s="92" t="e">
        <f>VLOOKUP(H55,Data!$ZW$2:$ZY$8,3,FALSE)</f>
        <v>#N/A</v>
      </c>
      <c r="BL55" s="92" t="str">
        <f t="shared" si="9"/>
        <v/>
      </c>
      <c r="BM55" s="92" t="str">
        <f t="shared" si="10"/>
        <v/>
      </c>
      <c r="BN55" s="92" t="str">
        <f t="shared" si="4"/>
        <v/>
      </c>
      <c r="BO55" s="33" t="e">
        <f t="shared" si="5"/>
        <v>#DIV/0!</v>
      </c>
      <c r="BP55" s="33" t="e">
        <f t="shared" si="6"/>
        <v>#DIV/0!</v>
      </c>
      <c r="BQ55" s="33" t="e">
        <f t="shared" si="7"/>
        <v>#DIV/0!</v>
      </c>
      <c r="BR55" s="33" t="str">
        <f t="shared" si="8"/>
        <v/>
      </c>
    </row>
    <row r="56" spans="1:70" ht="30" customHeight="1" thickTop="1" thickBot="1">
      <c r="A56" s="53">
        <v>49</v>
      </c>
      <c r="B56" s="13"/>
      <c r="C56" s="13"/>
      <c r="D56" s="19"/>
      <c r="E56" s="15"/>
      <c r="F56" s="14"/>
      <c r="G56" s="14"/>
      <c r="H56" s="14"/>
      <c r="I56" s="13"/>
      <c r="J56" s="14"/>
      <c r="K56" s="14"/>
      <c r="L56" s="484"/>
      <c r="M56" s="485"/>
      <c r="N56" s="15"/>
      <c r="O56" s="15"/>
      <c r="P56" s="15"/>
      <c r="Q56" s="13"/>
      <c r="R56" s="13"/>
      <c r="S56" s="13"/>
      <c r="T56" s="555"/>
      <c r="U56" s="556"/>
      <c r="V56" s="236"/>
      <c r="W56" s="237"/>
      <c r="X56" s="284" t="e">
        <f t="shared" si="2"/>
        <v>#N/A</v>
      </c>
      <c r="Y56" s="284" t="e">
        <f>VLOOKUP(Q56,Data!$QH$2:$QI$4,2,FALSE)</f>
        <v>#N/A</v>
      </c>
      <c r="AA56" s="284" t="e">
        <f t="shared" si="3"/>
        <v>#N/A</v>
      </c>
      <c r="AD56" s="92" t="e">
        <f>IF(#REF!=Data!$KK$2,Data!$KM$1,IF(#REF!=Data!$KK$3,Data!$KN$1,IF(#REF!=Data!$KK$4,Data!$KP$1,IF(#REF!=Data!$KK$5,Data!$KQ$1))))</f>
        <v>#REF!</v>
      </c>
      <c r="AE56" s="33" t="str">
        <f>IF(D56=Data!$W$10,Data!$QJ$1,Data!$QK$1)</f>
        <v>RollerControl</v>
      </c>
      <c r="AH56" s="33" t="b">
        <f>IF(Q56=Data!$PX$2,Data!$PZ$1,IF(Q56=Data!$PX$3,Data!$PY$1,IF(Q56=Data!$PX$4,Data!$QA$1)))</f>
        <v>0</v>
      </c>
      <c r="AJ56" s="33" t="b">
        <f>IF(Q56=Data!$PX$3,Data!$QB$1,IF(Q56=Data!$PX$2,Data!$QC$1,IF(Q56=Data!$PX$4,Data!$QD$1)))</f>
        <v>0</v>
      </c>
      <c r="AL56" s="33" t="str">
        <f>IF(D56=Data!$W$3,Data!$QF$1,IF(D56=Data!$W$4,Data!$QF$1,IF(D56=Data!$W$5,Data!$QF$1,IF(D56=Data!$W$6,Data!$QF$1,IF(D56=Data!$W$7,Data!$QF$1,IF(D56=Data!$W$8,Data!$QF$1,IF(D56=Data!$W$9,Data!$QF$1,IF(D56=Data!$W$10,Data!$QE$1,IF(D56=Data!$W$11,Data!$QF$1,IF(D56=Data!$W$12,Data!$QF$1,IF(D56=Data!$W$13,Data!$QF$1,IF(D56=Data!$W$14,Data!$QF$1,IF(D56=Data!$W$15,Data!$QF$1,IF(D56=Data!$W$16,Data!$QF$1))))))))))))))</f>
        <v>RollerBracketType2</v>
      </c>
      <c r="AV56" s="40" t="e">
        <f>IF(AND(G56&lt;2130, OR(#REF!&lt;2100)),Data!$KS$1,Data!$KT$1)</f>
        <v>#REF!</v>
      </c>
      <c r="AW56" s="92" t="e">
        <f>MATCH(#REF!,Data!$LA$1:$LD$1,0)</f>
        <v>#REF!</v>
      </c>
      <c r="AX56" s="92" t="e">
        <f>MATCH('Panel Glide Blinds'!AV56,Data!$KZ$2:$KZ$3,0)</f>
        <v>#REF!</v>
      </c>
      <c r="AY56" s="92" t="e">
        <f>INDEX(Data!$LA$2:$LD$3,'Panel Glide Blinds'!AX56,'Panel Glide Blinds'!AW56)</f>
        <v>#REF!</v>
      </c>
      <c r="BB56" s="92" t="e">
        <f>IF(#REF!=Data!$QK$2,Data!$QL$1,IF(#REF!=Data!$QK$3,Data!$QM$1,IF(#REF!=Data!$QK$4,Data!$QN$1,IF(#REF!=Data!$QK$5,Data!$QO$1,IF(#REF!=Data!$QK$6,Data!$QP$1,IF(#REF!=Data!$QK$7,Data!$QQ$1,IF(#REF!=Data!$QK$8,Data!$QR$1,IF(#REF!=Data!$QK$9,Data!$QS$1,IF(#REF!=Data!$QK$10,Data!$QT$1,IF(#REF!=Data!$QK$11,Data!$QU$1))))))))))</f>
        <v>#REF!</v>
      </c>
      <c r="BC56" s="33" t="e">
        <f>IF(#REF!=Data!$QK$2,Data!$QL$17,IF(#REF!=Data!$QK$3,Data!$QM$17,IF(#REF!=Data!$QK$4,Data!$QN$17,IF(#REF!=Data!$QK$5,Data!$QO$17,IF(#REF!=Data!$QK$6,Data!$QP$17,IF(#REF!=Data!$QK$7,Data!$QQ$17,IF(#REF!=Data!$QK$8,Data!$QR$17,IF(#REF!=Data!$QK$9,Data!$QS$17,IF(#REF!=Data!$QK$10,Data!$QT$17,IF(#REF!=Data!$QK$11,Data!$QU$17))))))))))</f>
        <v>#REF!</v>
      </c>
      <c r="BD56" s="33" t="e">
        <f>IF(#REF!=Data!$PU$2,Data!$PW$1,IF(#REF!=Data!$PU$3,Data!$PW$1,IF(#REF!=Data!$PU$4,Data!$PV$1,IF(#REF!=Data!$PU$5,Data!$PV$1,))))</f>
        <v>#REF!</v>
      </c>
      <c r="BE56" s="33" t="e">
        <f>MATCH('Panel Glide Blinds'!D56,Data!$YK$2:$YK$15)</f>
        <v>#N/A</v>
      </c>
      <c r="BF56" s="33" t="e">
        <f>MATCH(O56,Data!$YL$1:$YM$1)</f>
        <v>#N/A</v>
      </c>
      <c r="BG56" s="33" t="e">
        <f>INDEX(Data!$YL$2:$YM$15,BE56,BF56)</f>
        <v>#N/A</v>
      </c>
      <c r="BH56" s="33" t="b">
        <f>IF(O56=Data!$ZF$1,Data!$ZD$1,IF(O56=Data!$ZF$2,Data!$ZE$1))</f>
        <v>0</v>
      </c>
      <c r="BI56" s="33" t="e">
        <f>VLOOKUP(H56,Data!$ZL$2:$ZM$8,2,FALSE)</f>
        <v>#N/A</v>
      </c>
      <c r="BJ56" s="92" t="e">
        <f>VLOOKUP(H56,Data!$ZW$2:$ZX$9,2,FALSE)</f>
        <v>#N/A</v>
      </c>
      <c r="BK56" s="92" t="e">
        <f>VLOOKUP(H56,Data!$ZW$2:$ZY$8,3,FALSE)</f>
        <v>#N/A</v>
      </c>
      <c r="BL56" s="92" t="str">
        <f t="shared" si="9"/>
        <v/>
      </c>
      <c r="BM56" s="92" t="str">
        <f t="shared" si="10"/>
        <v/>
      </c>
      <c r="BN56" s="92" t="str">
        <f t="shared" si="4"/>
        <v/>
      </c>
      <c r="BO56" s="33" t="e">
        <f t="shared" si="5"/>
        <v>#DIV/0!</v>
      </c>
      <c r="BP56" s="33" t="e">
        <f t="shared" si="6"/>
        <v>#DIV/0!</v>
      </c>
      <c r="BQ56" s="33" t="e">
        <f t="shared" si="7"/>
        <v>#DIV/0!</v>
      </c>
      <c r="BR56" s="33" t="str">
        <f t="shared" si="8"/>
        <v/>
      </c>
    </row>
    <row r="57" spans="1:70" ht="30" customHeight="1" thickTop="1" thickBot="1">
      <c r="A57" s="54">
        <v>50</v>
      </c>
      <c r="B57" s="21"/>
      <c r="C57" s="21"/>
      <c r="D57" s="45"/>
      <c r="E57" s="44"/>
      <c r="F57" s="22"/>
      <c r="G57" s="22"/>
      <c r="H57" s="22"/>
      <c r="I57" s="21"/>
      <c r="J57" s="22"/>
      <c r="K57" s="46"/>
      <c r="L57" s="518"/>
      <c r="M57" s="519"/>
      <c r="N57" s="47"/>
      <c r="O57" s="47"/>
      <c r="P57" s="44"/>
      <c r="Q57" s="45"/>
      <c r="R57" s="21"/>
      <c r="S57" s="21"/>
      <c r="T57" s="551"/>
      <c r="U57" s="552"/>
      <c r="V57" s="236"/>
      <c r="W57" s="237"/>
      <c r="X57" s="284" t="e">
        <f t="shared" si="2"/>
        <v>#N/A</v>
      </c>
      <c r="Y57" s="284" t="e">
        <f>VLOOKUP(Q57,Data!$QH$2:$QI$4,2,FALSE)</f>
        <v>#N/A</v>
      </c>
      <c r="AA57" s="284" t="e">
        <f t="shared" si="3"/>
        <v>#N/A</v>
      </c>
      <c r="AD57" s="92" t="e">
        <f>IF(#REF!=Data!$KK$2,Data!$KM$1,IF(#REF!=Data!$KK$3,Data!$KN$1,IF(#REF!=Data!$KK$4,Data!$KP$1,IF(#REF!=Data!$KK$5,Data!$KQ$1))))</f>
        <v>#REF!</v>
      </c>
      <c r="AE57" s="33" t="str">
        <f>IF(D57=Data!$W$10,Data!$QJ$1,Data!$QK$1)</f>
        <v>RollerControl</v>
      </c>
      <c r="AH57" s="33" t="b">
        <f>IF(Q57=Data!$PX$2,Data!$PZ$1,IF(Q57=Data!$PX$3,Data!$PY$1,IF(Q57=Data!$PX$4,Data!$QA$1)))</f>
        <v>0</v>
      </c>
      <c r="AJ57" s="33" t="b">
        <f>IF(Q57=Data!$PX$3,Data!$QB$1,IF(Q57=Data!$PX$2,Data!$QC$1,IF(Q57=Data!$PX$4,Data!$QD$1)))</f>
        <v>0</v>
      </c>
      <c r="AL57" s="33" t="str">
        <f>IF(D57=Data!$W$3,Data!$QF$1,IF(D57=Data!$W$4,Data!$QF$1,IF(D57=Data!$W$5,Data!$QF$1,IF(D57=Data!$W$6,Data!$QF$1,IF(D57=Data!$W$7,Data!$QF$1,IF(D57=Data!$W$8,Data!$QF$1,IF(D57=Data!$W$9,Data!$QF$1,IF(D57=Data!$W$10,Data!$QE$1,IF(D57=Data!$W$11,Data!$QF$1,IF(D57=Data!$W$12,Data!$QF$1,IF(D57=Data!$W$13,Data!$QF$1,IF(D57=Data!$W$14,Data!$QF$1,IF(D57=Data!$W$15,Data!$QF$1,IF(D57=Data!$W$16,Data!$QF$1))))))))))))))</f>
        <v>RollerBracketType2</v>
      </c>
      <c r="AV57" s="40" t="e">
        <f>IF(AND(G57&lt;2130, OR(#REF!&lt;2100)),Data!$KS$1,Data!$KT$1)</f>
        <v>#REF!</v>
      </c>
      <c r="AW57" s="92" t="e">
        <f>MATCH(#REF!,Data!$LA$1:$LD$1,0)</f>
        <v>#REF!</v>
      </c>
      <c r="AX57" s="92" t="e">
        <f>MATCH('Panel Glide Blinds'!AV57,Data!$KZ$2:$KZ$3,0)</f>
        <v>#REF!</v>
      </c>
      <c r="AY57" s="92" t="e">
        <f>INDEX(Data!$LA$2:$LD$3,'Panel Glide Blinds'!AX57,'Panel Glide Blinds'!AW57)</f>
        <v>#REF!</v>
      </c>
      <c r="BB57" s="92" t="e">
        <f>IF(#REF!=Data!$QK$2,Data!$QL$1,IF(#REF!=Data!$QK$3,Data!$QM$1,IF(#REF!=Data!$QK$4,Data!$QN$1,IF(#REF!=Data!$QK$5,Data!$QO$1,IF(#REF!=Data!$QK$6,Data!$QP$1,IF(#REF!=Data!$QK$7,Data!$QQ$1,IF(#REF!=Data!$QK$8,Data!$QR$1,IF(#REF!=Data!$QK$9,Data!$QS$1,IF(#REF!=Data!$QK$10,Data!$QT$1,IF(#REF!=Data!$QK$11,Data!$QU$1))))))))))</f>
        <v>#REF!</v>
      </c>
      <c r="BC57" s="33" t="e">
        <f>IF(#REF!=Data!$QK$2,Data!$QL$17,IF(#REF!=Data!$QK$3,Data!$QM$17,IF(#REF!=Data!$QK$4,Data!$QN$17,IF(#REF!=Data!$QK$5,Data!$QO$17,IF(#REF!=Data!$QK$6,Data!$QP$17,IF(#REF!=Data!$QK$7,Data!$QQ$17,IF(#REF!=Data!$QK$8,Data!$QR$17,IF(#REF!=Data!$QK$9,Data!$QS$17,IF(#REF!=Data!$QK$10,Data!$QT$17,IF(#REF!=Data!$QK$11,Data!$QU$17))))))))))</f>
        <v>#REF!</v>
      </c>
      <c r="BD57" s="33" t="e">
        <f>IF(#REF!=Data!$PU$2,Data!$PW$1,IF(#REF!=Data!$PU$3,Data!$PW$1,IF(#REF!=Data!$PU$4,Data!$PV$1,IF(#REF!=Data!$PU$5,Data!$PV$1,))))</f>
        <v>#REF!</v>
      </c>
      <c r="BE57" s="33" t="e">
        <f>MATCH('Panel Glide Blinds'!D57,Data!$YK$2:$YK$15)</f>
        <v>#N/A</v>
      </c>
      <c r="BF57" s="33" t="e">
        <f>MATCH(O57,Data!$YL$1:$YM$1)</f>
        <v>#N/A</v>
      </c>
      <c r="BG57" s="33" t="e">
        <f>INDEX(Data!$YL$2:$YM$15,BE57,BF57)</f>
        <v>#N/A</v>
      </c>
      <c r="BH57" s="33" t="b">
        <f>IF(O57=Data!$ZF$1,Data!$ZD$1,IF(O57=Data!$ZF$2,Data!$ZE$1))</f>
        <v>0</v>
      </c>
      <c r="BI57" s="33" t="e">
        <f>VLOOKUP(H57,Data!$ZL$2:$ZM$8,2,FALSE)</f>
        <v>#N/A</v>
      </c>
      <c r="BJ57" s="92" t="e">
        <f>VLOOKUP(H57,Data!$ZW$2:$ZX$9,2,FALSE)</f>
        <v>#N/A</v>
      </c>
      <c r="BK57" s="92" t="e">
        <f>VLOOKUP(H57,Data!$ZW$2:$ZY$8,3,FALSE)</f>
        <v>#N/A</v>
      </c>
      <c r="BL57" s="92" t="str">
        <f t="shared" si="9"/>
        <v/>
      </c>
      <c r="BM57" s="92" t="str">
        <f t="shared" si="10"/>
        <v/>
      </c>
      <c r="BN57" s="92" t="str">
        <f t="shared" si="4"/>
        <v/>
      </c>
      <c r="BO57" s="33" t="e">
        <f t="shared" si="5"/>
        <v>#DIV/0!</v>
      </c>
      <c r="BP57" s="33" t="e">
        <f t="shared" si="6"/>
        <v>#DIV/0!</v>
      </c>
      <c r="BQ57" s="33" t="e">
        <f t="shared" si="7"/>
        <v>#DIV/0!</v>
      </c>
      <c r="BR57" s="33" t="str">
        <f t="shared" si="8"/>
        <v/>
      </c>
    </row>
    <row r="58" spans="1:70" ht="15.75" thickTop="1">
      <c r="A58" s="79"/>
    </row>
  </sheetData>
  <sheetProtection password="A0FF" sheet="1" objects="1" scenarios="1"/>
  <mergeCells count="120">
    <mergeCell ref="M1:T1"/>
    <mergeCell ref="M2:T2"/>
    <mergeCell ref="M3:T3"/>
    <mergeCell ref="M4:T4"/>
    <mergeCell ref="A4:C4"/>
    <mergeCell ref="D4:E4"/>
    <mergeCell ref="F4:G4"/>
    <mergeCell ref="F2:I2"/>
    <mergeCell ref="H4:I4"/>
    <mergeCell ref="K1:L1"/>
    <mergeCell ref="K2:L2"/>
    <mergeCell ref="K3:L3"/>
    <mergeCell ref="K4:L4"/>
    <mergeCell ref="L16:M16"/>
    <mergeCell ref="L11:M11"/>
    <mergeCell ref="L12:M12"/>
    <mergeCell ref="L13:M13"/>
    <mergeCell ref="L20:M20"/>
    <mergeCell ref="A6:I6"/>
    <mergeCell ref="K6:L6"/>
    <mergeCell ref="L14:M14"/>
    <mergeCell ref="L15:M15"/>
    <mergeCell ref="L8:M8"/>
    <mergeCell ref="L9:M9"/>
    <mergeCell ref="M6:T6"/>
    <mergeCell ref="L10:M10"/>
    <mergeCell ref="L7:M7"/>
    <mergeCell ref="T12:U12"/>
    <mergeCell ref="T13:U13"/>
    <mergeCell ref="T14:U14"/>
    <mergeCell ref="T15:U15"/>
    <mergeCell ref="T16:U16"/>
    <mergeCell ref="T7:U7"/>
    <mergeCell ref="T8:U8"/>
    <mergeCell ref="T9:U9"/>
    <mergeCell ref="T10:U10"/>
    <mergeCell ref="T11:U11"/>
    <mergeCell ref="L26:M26"/>
    <mergeCell ref="L27:M27"/>
    <mergeCell ref="L28:M28"/>
    <mergeCell ref="L23:M23"/>
    <mergeCell ref="L24:M24"/>
    <mergeCell ref="L25:M25"/>
    <mergeCell ref="L21:M21"/>
    <mergeCell ref="L22:M22"/>
    <mergeCell ref="L17:M17"/>
    <mergeCell ref="L18:M18"/>
    <mergeCell ref="L19:M19"/>
    <mergeCell ref="L35:M35"/>
    <mergeCell ref="L36:M36"/>
    <mergeCell ref="L37:M37"/>
    <mergeCell ref="L32:M32"/>
    <mergeCell ref="L33:M33"/>
    <mergeCell ref="L34:M34"/>
    <mergeCell ref="L29:M29"/>
    <mergeCell ref="L30:M30"/>
    <mergeCell ref="L31:M31"/>
    <mergeCell ref="L44:M44"/>
    <mergeCell ref="L45:M45"/>
    <mergeCell ref="L46:M46"/>
    <mergeCell ref="L41:M41"/>
    <mergeCell ref="L42:M42"/>
    <mergeCell ref="L43:M43"/>
    <mergeCell ref="L38:M38"/>
    <mergeCell ref="L39:M39"/>
    <mergeCell ref="L40:M40"/>
    <mergeCell ref="L56:M56"/>
    <mergeCell ref="L57:M57"/>
    <mergeCell ref="L53:M53"/>
    <mergeCell ref="L54:M54"/>
    <mergeCell ref="L55:M55"/>
    <mergeCell ref="L50:M50"/>
    <mergeCell ref="L51:M51"/>
    <mergeCell ref="L52:M52"/>
    <mergeCell ref="L47:M47"/>
    <mergeCell ref="L48:M48"/>
    <mergeCell ref="L49:M49"/>
    <mergeCell ref="T22:U22"/>
    <mergeCell ref="T23:U23"/>
    <mergeCell ref="T24:U24"/>
    <mergeCell ref="T25:U25"/>
    <mergeCell ref="T26:U26"/>
    <mergeCell ref="T17:U17"/>
    <mergeCell ref="T18:U18"/>
    <mergeCell ref="T20:U20"/>
    <mergeCell ref="T19:U19"/>
    <mergeCell ref="T21:U21"/>
    <mergeCell ref="T33:U33"/>
    <mergeCell ref="T34:U34"/>
    <mergeCell ref="T35:U35"/>
    <mergeCell ref="T36:U36"/>
    <mergeCell ref="T27:U27"/>
    <mergeCell ref="T28:U28"/>
    <mergeCell ref="T29:U29"/>
    <mergeCell ref="T30:U30"/>
    <mergeCell ref="T31:U31"/>
    <mergeCell ref="T57:U57"/>
    <mergeCell ref="K5:L5"/>
    <mergeCell ref="M5:T5"/>
    <mergeCell ref="T52:U52"/>
    <mergeCell ref="T53:U53"/>
    <mergeCell ref="T54:U54"/>
    <mergeCell ref="T55:U55"/>
    <mergeCell ref="T56:U56"/>
    <mergeCell ref="T47:U47"/>
    <mergeCell ref="T48:U48"/>
    <mergeCell ref="T49:U49"/>
    <mergeCell ref="T50:U50"/>
    <mergeCell ref="T51:U51"/>
    <mergeCell ref="T42:U42"/>
    <mergeCell ref="T43:U43"/>
    <mergeCell ref="T44:U44"/>
    <mergeCell ref="T45:U45"/>
    <mergeCell ref="T46:U46"/>
    <mergeCell ref="T38:U38"/>
    <mergeCell ref="T37:U37"/>
    <mergeCell ref="T39:U39"/>
    <mergeCell ref="T40:U40"/>
    <mergeCell ref="T41:U41"/>
    <mergeCell ref="T32:U32"/>
  </mergeCells>
  <conditionalFormatting sqref="C8:C57">
    <cfRule type="cellIs" dxfId="107" priority="11" stopIfTrue="1" operator="greaterThan">
      <formula>1</formula>
    </cfRule>
  </conditionalFormatting>
  <conditionalFormatting sqref="R8:R57">
    <cfRule type="expression" dxfId="106" priority="10">
      <formula>AA8="Enter"</formula>
    </cfRule>
  </conditionalFormatting>
  <conditionalFormatting sqref="S8:T57">
    <cfRule type="expression" dxfId="105" priority="8">
      <formula>X8="Enter"</formula>
    </cfRule>
  </conditionalFormatting>
  <conditionalFormatting sqref="M6">
    <cfRule type="notContainsBlanks" dxfId="104" priority="7">
      <formula>LEN(TRIM(M6))&gt;0</formula>
    </cfRule>
  </conditionalFormatting>
  <conditionalFormatting sqref="F8:F57">
    <cfRule type="expression" dxfId="103" priority="4">
      <formula>BN8="Check Size"</formula>
    </cfRule>
  </conditionalFormatting>
  <conditionalFormatting sqref="H8:H57">
    <cfRule type="expression" dxfId="102" priority="3">
      <formula>BN8="Check Size"</formula>
    </cfRule>
  </conditionalFormatting>
  <conditionalFormatting sqref="F8:F57">
    <cfRule type="expression" dxfId="101" priority="2">
      <formula>BR8="Check Size"</formula>
    </cfRule>
  </conditionalFormatting>
  <conditionalFormatting sqref="H8:H57">
    <cfRule type="expression" dxfId="100" priority="1">
      <formula>BR8="Check Size"</formula>
    </cfRule>
  </conditionalFormatting>
  <dataValidations count="17">
    <dataValidation type="list" allowBlank="1" showInputMessage="1" showErrorMessage="1" errorTitle="Invalid Entry" error="Invalid Entry" sqref="S8:S57" xr:uid="{00000000-0002-0000-0700-000000000000}">
      <formula1>INDIRECT(SUBSTITUTE(AJ8," ","_"))</formula1>
    </dataValidation>
    <dataValidation type="list" allowBlank="1" showInputMessage="1" showErrorMessage="1" errorTitle="Invalid Entry" error="Invalid Entry" sqref="R8:R57" xr:uid="{00000000-0002-0000-0700-000001000000}">
      <formula1>INDIRECT(SUBSTITUTE(AH8," ","_"))</formula1>
    </dataValidation>
    <dataValidation type="list" allowBlank="1" showInputMessage="1" showErrorMessage="1" errorTitle="Invalid Entry" error="Invalid Entry" sqref="E8:E57" xr:uid="{00000000-0002-0000-0700-000002000000}">
      <formula1>INDIRECT(SUBSTITUTE(SUBSTITUTE(SUBSTITUTE(D8," ","_"),"(",""),")",""))</formula1>
    </dataValidation>
    <dataValidation type="list" allowBlank="1" showInputMessage="1" showErrorMessage="1" errorTitle="Invalid Entry" error="Invalid Entry" sqref="P8:P57" xr:uid="{00000000-0002-0000-0700-000003000000}">
      <formula1>INDIRECT(SUBSTITUTE(BH8," ","_"))</formula1>
    </dataValidation>
    <dataValidation type="list" allowBlank="1" showInputMessage="1" showErrorMessage="1" errorTitle="Invalid Entry" error="Invalid Entry _x000a_" sqref="I8:I57" xr:uid="{00000000-0002-0000-0700-000004000000}">
      <formula1>INDIRECT(SUBSTITUTE(SUBSTITUTE(SUBSTITUTE(BI8," ","_"),"(",""),")",""))</formula1>
    </dataValidation>
    <dataValidation allowBlank="1" sqref="V1:W57 T8:T57 U8" xr:uid="{00000000-0002-0000-0700-000005000000}"/>
    <dataValidation operator="equal" allowBlank="1" showDropDown="1" showInputMessage="1" showErrorMessage="1" errorTitle="Invalid Entry" error="Invalid Entry" sqref="AV8:AV57" xr:uid="{00000000-0002-0000-0700-000006000000}"/>
    <dataValidation type="list" allowBlank="1" showInputMessage="1" showErrorMessage="1" errorTitle="Invalid Entry" error="Invalid Entry" sqref="Q8:Q57" xr:uid="{00000000-0002-0000-0700-000007000000}">
      <formula1>RollerUniversalPelmet</formula1>
    </dataValidation>
    <dataValidation type="list" allowBlank="1" showInputMessage="1" showErrorMessage="1" errorTitle="Invalid Entry" error="Invalid Entry" sqref="N8:N57" xr:uid="{00000000-0002-0000-0700-000008000000}">
      <formula1>"Clear Anodised, Black, White, White Birch"</formula1>
    </dataValidation>
    <dataValidation type="whole" errorStyle="warning" allowBlank="1" showInputMessage="1" showErrorMessage="1" errorTitle="Be Aware" error="Minimum Height is 500mm._x000a_Maximum Height is 3000mm._x000a__x000a_Additional sizes outside these Maximum's may be able to be manufactured." sqref="G8:G57" xr:uid="{00000000-0002-0000-0700-000009000000}">
      <formula1>500</formula1>
      <formula2>3000</formula2>
    </dataValidation>
    <dataValidation type="list" allowBlank="1" showInputMessage="1" showErrorMessage="1" errorTitle="Invalid Entry" error="Invalid Entry" sqref="D8:D57" xr:uid="{00000000-0002-0000-0700-00000A000000}">
      <formula1>Panel_Glide_Blind_Product</formula1>
    </dataValidation>
    <dataValidation type="list" allowBlank="1" showInputMessage="1" showErrorMessage="1" errorTitle="Invalid Entry" error="Invalid Entry" sqref="J8:J57" xr:uid="{00000000-0002-0000-0700-00000B000000}">
      <formula1>WindowType</formula1>
    </dataValidation>
    <dataValidation type="list" allowBlank="1" showInputMessage="1" showErrorMessage="1" errorTitle="Invalid Entry" error="Invalid Entry" sqref="L8:M57" xr:uid="{00000000-0002-0000-0700-00000C000000}">
      <formula1>"NAM, ACT"</formula1>
    </dataValidation>
    <dataValidation type="list" allowBlank="1" showInputMessage="1" showErrorMessage="1" errorTitle="Invalid Entry" error="Invalid Entry" sqref="K8:K57" xr:uid="{00000000-0002-0000-0700-00000D000000}">
      <formula1>"Face Fit, Recess Fit"</formula1>
    </dataValidation>
    <dataValidation type="list" allowBlank="1" showInputMessage="1" showErrorMessage="1" errorTitle="Invalid Entry" error="Invalid Entry" sqref="O8:O57" xr:uid="{00000000-0002-0000-0700-00000E000000}">
      <formula1>"Bottom Rail, Sewn In Pocket"</formula1>
    </dataValidation>
    <dataValidation type="list" allowBlank="1" showInputMessage="1" showErrorMessage="1" errorTitle="Be Aware" error="Minimum Number of Panels is 2._x000a_Maximum Number of Panels is 9. _x000a_" sqref="H8:H57" xr:uid="{00000000-0002-0000-0700-00000F000000}">
      <formula1>Panel_Quantity</formula1>
    </dataValidation>
    <dataValidation type="whole" errorStyle="warning" allowBlank="1" showInputMessage="1" showErrorMessage="1" errorTitle="Be Aware" error="Minimum &amp; Maximum Widths; _x000a__x000a_For 3 Track options; _x000a_Minimum Width is 1200mm. _x000a_Maximum Width is 3000mm. _x000a__x000a_For 6 Track options; _x000a_Minimum Width is 1600mm. _x000a_Maximum Width is 5500mm. " sqref="F8:F57" xr:uid="{00000000-0002-0000-0700-000010000000}">
      <formula1>1200</formula1>
      <formula2>5500</formula2>
    </dataValidation>
  </dataValidations>
  <printOptions horizontalCentered="1"/>
  <pageMargins left="0.23622047244094491" right="0.23622047244094491" top="0.23622047244094491" bottom="0.23622047244094491" header="0.19685039370078741" footer="0.19685039370078741"/>
  <pageSetup paperSize="9" scale="47"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C00000"/>
    <pageSetUpPr fitToPage="1"/>
  </sheetPr>
  <dimension ref="A1:DZ58"/>
  <sheetViews>
    <sheetView zoomScale="85" zoomScaleNormal="85" zoomScaleSheetLayoutView="85" workbookViewId="0">
      <selection activeCell="B8" sqref="B8"/>
    </sheetView>
  </sheetViews>
  <sheetFormatPr defaultRowHeight="15"/>
  <cols>
    <col min="1" max="1" width="7.140625" style="55" customWidth="1"/>
    <col min="2" max="2" width="13.7109375" style="55" customWidth="1"/>
    <col min="3" max="3" width="8.42578125" style="55" customWidth="1"/>
    <col min="4" max="4" width="21.5703125" style="55" customWidth="1"/>
    <col min="5" max="6" width="23" style="55" customWidth="1"/>
    <col min="7" max="7" width="13" style="55" customWidth="1"/>
    <col min="8" max="8" width="12.42578125" style="55" customWidth="1"/>
    <col min="9" max="9" width="15.85546875" style="55" customWidth="1"/>
    <col min="10" max="10" width="11.42578125" style="55" customWidth="1"/>
    <col min="11" max="11" width="12.85546875" style="55" customWidth="1"/>
    <col min="12" max="13" width="13.7109375" style="55" customWidth="1"/>
    <col min="14" max="14" width="16.5703125" style="55" customWidth="1"/>
    <col min="15" max="15" width="15.28515625" style="55" customWidth="1"/>
    <col min="16" max="16" width="15.140625" style="55" customWidth="1"/>
    <col min="17" max="18" width="19" style="55" customWidth="1"/>
    <col min="19" max="19" width="13" style="55" customWidth="1"/>
    <col min="20" max="20" width="40.42578125" style="55" customWidth="1"/>
    <col min="21" max="21" width="15.42578125" style="55" customWidth="1"/>
    <col min="22" max="22" width="44.5703125" style="66" hidden="1" customWidth="1"/>
    <col min="23" max="23" width="22.5703125" style="33" hidden="1" customWidth="1"/>
    <col min="24" max="25" width="9.140625" style="33" hidden="1" customWidth="1"/>
    <col min="26" max="26" width="14.7109375" style="92" hidden="1" customWidth="1"/>
    <col min="27" max="27" width="37.42578125" style="92" hidden="1" customWidth="1"/>
    <col min="28" max="29" width="23.28515625" style="92" hidden="1" customWidth="1"/>
    <col min="30" max="30" width="25.140625" style="33" hidden="1" customWidth="1"/>
    <col min="31" max="32" width="9.140625" style="33" hidden="1" customWidth="1"/>
    <col min="33" max="33" width="21.85546875" style="33" hidden="1" customWidth="1"/>
    <col min="34" max="34" width="9.140625" style="33" hidden="1" customWidth="1"/>
    <col min="35" max="35" width="24" style="33" hidden="1" customWidth="1"/>
    <col min="36" max="46" width="9.140625" style="33" hidden="1" customWidth="1"/>
    <col min="47" max="47" width="13.85546875" style="33" hidden="1" customWidth="1"/>
    <col min="48" max="48" width="45" style="92" hidden="1" customWidth="1"/>
    <col min="49" max="49" width="53" style="33" hidden="1" customWidth="1"/>
    <col min="50" max="50" width="28.85546875" style="33" hidden="1" customWidth="1"/>
    <col min="51" max="51" width="35.140625" style="33" hidden="1" customWidth="1"/>
    <col min="52" max="52" width="24.42578125" style="33" hidden="1" customWidth="1"/>
    <col min="53" max="56" width="9.140625" style="33" hidden="1" customWidth="1"/>
    <col min="57" max="57" width="43.42578125" style="33" hidden="1" customWidth="1"/>
    <col min="58" max="58" width="51.7109375" style="33" hidden="1" customWidth="1"/>
    <col min="59" max="59" width="57.140625" style="33" hidden="1" customWidth="1"/>
    <col min="60" max="60" width="61.42578125" style="33" hidden="1" customWidth="1"/>
    <col min="61" max="61" width="10.85546875" style="33" hidden="1" customWidth="1"/>
    <col min="62" max="62" width="12.7109375" style="33" hidden="1" customWidth="1"/>
    <col min="63" max="63" width="11.28515625" style="33" hidden="1" customWidth="1"/>
    <col min="64" max="64" width="16.85546875" style="33" hidden="1" customWidth="1"/>
    <col min="65" max="65" width="18.5703125" style="33" hidden="1" customWidth="1"/>
    <col min="66" max="66" width="25" style="33" hidden="1" customWidth="1"/>
    <col min="67" max="67" width="39.5703125" style="33" hidden="1" customWidth="1"/>
    <col min="68" max="68" width="22.7109375" style="33" hidden="1" customWidth="1"/>
    <col min="69" max="69" width="29.42578125" style="33" hidden="1" customWidth="1"/>
    <col min="70" max="70" width="32.28515625" style="33" hidden="1" customWidth="1"/>
    <col min="71" max="72" width="19.28515625" style="33" hidden="1" customWidth="1"/>
    <col min="73" max="73" width="16.85546875" style="33" hidden="1" customWidth="1"/>
    <col min="74" max="74" width="18.85546875" style="33" hidden="1" customWidth="1"/>
    <col min="75" max="75" width="17.42578125" style="33" hidden="1" customWidth="1"/>
    <col min="76" max="76" width="19.28515625" style="33" hidden="1" customWidth="1"/>
    <col min="77" max="77" width="30.28515625" style="33" hidden="1" customWidth="1"/>
    <col min="78" max="78" width="16.28515625" style="33" hidden="1" customWidth="1"/>
    <col min="79" max="79" width="17.28515625" style="33" hidden="1" customWidth="1"/>
    <col min="80" max="80" width="18.42578125" style="33" hidden="1" customWidth="1"/>
    <col min="81" max="81" width="16.28515625" style="33" hidden="1" customWidth="1"/>
    <col min="82" max="82" width="18.28515625" style="33" hidden="1" customWidth="1"/>
    <col min="83" max="83" width="16.42578125" style="33" hidden="1" customWidth="1"/>
    <col min="84" max="84" width="19.140625" style="33" hidden="1" customWidth="1"/>
    <col min="85" max="85" width="20.140625" style="33" hidden="1" customWidth="1"/>
    <col min="86" max="86" width="18" style="33" hidden="1" customWidth="1"/>
    <col min="87" max="87" width="26.7109375" style="33" hidden="1" customWidth="1"/>
    <col min="88" max="88" width="16.7109375" style="33" hidden="1" customWidth="1"/>
    <col min="89" max="89" width="16" style="33" hidden="1" customWidth="1"/>
    <col min="90" max="90" width="16.7109375" style="33" hidden="1" customWidth="1"/>
    <col min="91" max="91" width="14.7109375" style="33" hidden="1" customWidth="1"/>
    <col min="92" max="92" width="24.42578125" style="33" hidden="1" customWidth="1"/>
    <col min="93" max="93" width="21.7109375" style="92" hidden="1" customWidth="1"/>
    <col min="94" max="94" width="27.28515625" style="92" hidden="1" customWidth="1"/>
    <col min="95" max="95" width="26" style="92" hidden="1" customWidth="1"/>
    <col min="96" max="96" width="9.140625" style="33" hidden="1" customWidth="1"/>
    <col min="97" max="97" width="19" style="33" hidden="1" customWidth="1"/>
    <col min="98" max="111" width="17.5703125" style="92" hidden="1" customWidth="1"/>
    <col min="112" max="112" width="13.28515625" style="33" hidden="1" customWidth="1"/>
    <col min="113" max="114" width="9.140625" style="105" hidden="1" customWidth="1"/>
    <col min="115" max="115" width="14.5703125" style="105" hidden="1" customWidth="1"/>
    <col min="116" max="116" width="9.140625" style="105" hidden="1" customWidth="1"/>
    <col min="117" max="119" width="9.140625" style="33" hidden="1" customWidth="1"/>
    <col min="120" max="120" width="37.7109375" style="33" hidden="1" customWidth="1"/>
    <col min="121" max="122" width="33" style="33" hidden="1" customWidth="1"/>
    <col min="123" max="123" width="22.140625" style="33" hidden="1" customWidth="1"/>
    <col min="124" max="124" width="45.28515625" style="33" hidden="1" customWidth="1"/>
    <col min="125" max="125" width="23.85546875" style="33" hidden="1" customWidth="1"/>
    <col min="126" max="128" width="24" style="33" hidden="1" customWidth="1"/>
    <col min="129" max="129" width="26.28515625" style="33" hidden="1" customWidth="1"/>
    <col min="130" max="130" width="9.140625" style="33" hidden="1" customWidth="1"/>
    <col min="131" max="132" width="9.140625" style="33" customWidth="1"/>
    <col min="133" max="16384" width="9.140625" style="33"/>
  </cols>
  <sheetData>
    <row r="1" spans="1:129" ht="26.25" customHeight="1">
      <c r="A1" s="120"/>
      <c r="B1" s="121"/>
      <c r="C1" s="121"/>
      <c r="D1" s="121"/>
      <c r="E1" s="121"/>
      <c r="F1" s="177"/>
      <c r="G1" s="121"/>
      <c r="H1" s="121"/>
      <c r="I1" s="302"/>
      <c r="J1" s="121"/>
      <c r="K1" s="553" t="s">
        <v>0</v>
      </c>
      <c r="L1" s="554"/>
      <c r="M1" s="566">
        <f>Summary!D3</f>
        <v>0</v>
      </c>
      <c r="N1" s="567"/>
      <c r="O1" s="567"/>
      <c r="P1" s="567"/>
      <c r="Q1" s="567"/>
      <c r="R1" s="567"/>
      <c r="S1" s="567"/>
      <c r="T1" s="568"/>
      <c r="U1" s="275"/>
      <c r="V1" s="272"/>
    </row>
    <row r="2" spans="1:129" ht="19.5">
      <c r="A2" s="28"/>
      <c r="B2" s="29"/>
      <c r="C2" s="29"/>
      <c r="F2" s="569" t="s">
        <v>1556</v>
      </c>
      <c r="G2" s="569"/>
      <c r="H2" s="569"/>
      <c r="I2" s="570"/>
      <c r="J2" s="249"/>
      <c r="K2" s="553" t="s">
        <v>141</v>
      </c>
      <c r="L2" s="554"/>
      <c r="M2" s="563">
        <f>Summary!D6</f>
        <v>0</v>
      </c>
      <c r="N2" s="564"/>
      <c r="O2" s="564"/>
      <c r="P2" s="564"/>
      <c r="Q2" s="564"/>
      <c r="R2" s="564"/>
      <c r="S2" s="564"/>
      <c r="T2" s="565"/>
      <c r="U2" s="275"/>
      <c r="V2" s="272"/>
    </row>
    <row r="3" spans="1:129" ht="17.25" customHeight="1">
      <c r="A3" s="7"/>
      <c r="B3" s="8"/>
      <c r="C3" s="8"/>
      <c r="D3" s="122"/>
      <c r="E3" s="122"/>
      <c r="G3" s="122"/>
      <c r="H3" s="122"/>
      <c r="I3" s="303"/>
      <c r="J3" s="122"/>
      <c r="K3" s="553" t="s">
        <v>142</v>
      </c>
      <c r="L3" s="554"/>
      <c r="M3" s="563">
        <f>Summary!D4</f>
        <v>0</v>
      </c>
      <c r="N3" s="564"/>
      <c r="O3" s="564"/>
      <c r="P3" s="564"/>
      <c r="Q3" s="564"/>
      <c r="R3" s="564"/>
      <c r="S3" s="564"/>
      <c r="T3" s="565"/>
      <c r="U3" s="63"/>
      <c r="V3" s="64"/>
    </row>
    <row r="4" spans="1:129" ht="17.25" customHeight="1">
      <c r="A4" s="472" t="s">
        <v>458</v>
      </c>
      <c r="B4" s="472"/>
      <c r="C4" s="472"/>
      <c r="D4" s="572"/>
      <c r="E4" s="573"/>
      <c r="F4" s="299" t="s">
        <v>457</v>
      </c>
      <c r="G4" s="473"/>
      <c r="H4" s="562"/>
      <c r="I4" s="474"/>
      <c r="J4" s="304"/>
      <c r="K4" s="553" t="s">
        <v>973</v>
      </c>
      <c r="L4" s="554"/>
      <c r="M4" s="563">
        <f>Summary!D7</f>
        <v>0</v>
      </c>
      <c r="N4" s="564"/>
      <c r="O4" s="564"/>
      <c r="P4" s="564"/>
      <c r="Q4" s="564"/>
      <c r="R4" s="564"/>
      <c r="S4" s="564"/>
      <c r="T4" s="565"/>
      <c r="U4" s="275"/>
      <c r="V4" s="273"/>
    </row>
    <row r="5" spans="1:129" ht="17.25" customHeight="1">
      <c r="A5" s="101" t="s">
        <v>421</v>
      </c>
      <c r="B5" s="102"/>
      <c r="C5" s="102"/>
      <c r="D5" s="43" t="s">
        <v>211</v>
      </c>
      <c r="E5" s="43"/>
      <c r="F5" s="124"/>
      <c r="G5" s="43"/>
      <c r="H5" s="123"/>
      <c r="I5" s="305"/>
      <c r="J5" s="306" t="s">
        <v>1035</v>
      </c>
      <c r="K5" s="553" t="s">
        <v>143</v>
      </c>
      <c r="L5" s="554"/>
      <c r="M5" s="574">
        <f>Summary!D8</f>
        <v>0</v>
      </c>
      <c r="N5" s="575"/>
      <c r="O5" s="575"/>
      <c r="P5" s="575"/>
      <c r="Q5" s="575"/>
      <c r="R5" s="575"/>
      <c r="S5" s="575"/>
      <c r="T5" s="576"/>
      <c r="U5" s="275"/>
      <c r="V5" s="273"/>
      <c r="CS5" s="64"/>
      <c r="CT5" s="307" t="s">
        <v>1557</v>
      </c>
      <c r="CU5" s="307" t="s">
        <v>1558</v>
      </c>
      <c r="CV5" s="308" t="s">
        <v>1559</v>
      </c>
      <c r="CW5" s="309" t="s">
        <v>1560</v>
      </c>
      <c r="CX5" s="307" t="s">
        <v>1561</v>
      </c>
      <c r="CY5" s="310" t="s">
        <v>1562</v>
      </c>
      <c r="CZ5" s="311" t="s">
        <v>1563</v>
      </c>
      <c r="DA5" s="312" t="s">
        <v>1564</v>
      </c>
      <c r="DB5" s="313" t="s">
        <v>1565</v>
      </c>
      <c r="DC5" s="314" t="s">
        <v>1566</v>
      </c>
      <c r="DD5" s="307" t="s">
        <v>1567</v>
      </c>
      <c r="DE5" s="315" t="s">
        <v>1568</v>
      </c>
      <c r="DF5" s="313" t="s">
        <v>1569</v>
      </c>
      <c r="DG5" s="314" t="s">
        <v>1570</v>
      </c>
      <c r="DH5" s="182" t="s">
        <v>1571</v>
      </c>
    </row>
    <row r="6" spans="1:129" ht="15.75" thickBot="1">
      <c r="A6" s="524" t="s">
        <v>723</v>
      </c>
      <c r="B6" s="525"/>
      <c r="C6" s="525"/>
      <c r="D6" s="525"/>
      <c r="E6" s="525"/>
      <c r="F6" s="525"/>
      <c r="G6" s="525"/>
      <c r="H6" s="525"/>
      <c r="I6" s="526"/>
      <c r="J6" s="316">
        <v>8</v>
      </c>
      <c r="K6" s="557" t="s">
        <v>654</v>
      </c>
      <c r="L6" s="558"/>
      <c r="M6" s="557"/>
      <c r="N6" s="571"/>
      <c r="O6" s="571"/>
      <c r="P6" s="571"/>
      <c r="Q6" s="571"/>
      <c r="R6" s="571"/>
      <c r="S6" s="571"/>
      <c r="T6" s="558"/>
      <c r="BI6" s="33" t="s">
        <v>1572</v>
      </c>
      <c r="BZ6" s="317" t="s">
        <v>1573</v>
      </c>
      <c r="CA6" s="317" t="s">
        <v>1574</v>
      </c>
      <c r="CB6" s="318" t="s">
        <v>26</v>
      </c>
      <c r="CC6" s="319" t="s">
        <v>26</v>
      </c>
      <c r="CD6" s="317" t="s">
        <v>1575</v>
      </c>
      <c r="CE6" s="320" t="s">
        <v>1176</v>
      </c>
      <c r="CF6" s="321" t="s">
        <v>26</v>
      </c>
      <c r="CG6" s="322" t="s">
        <v>1576</v>
      </c>
      <c r="CH6" s="323" t="s">
        <v>1577</v>
      </c>
      <c r="CI6" s="324" t="s">
        <v>1578</v>
      </c>
      <c r="CJ6" s="317" t="s">
        <v>1579</v>
      </c>
      <c r="CK6" s="325" t="s">
        <v>1580</v>
      </c>
      <c r="CL6" s="323" t="s">
        <v>26</v>
      </c>
      <c r="CM6" s="324" t="s">
        <v>1581</v>
      </c>
      <c r="CS6" s="326"/>
      <c r="CT6" s="307" t="s">
        <v>1573</v>
      </c>
      <c r="CU6" s="307" t="s">
        <v>1574</v>
      </c>
      <c r="CV6" s="308" t="s">
        <v>26</v>
      </c>
      <c r="CW6" s="309" t="s">
        <v>26</v>
      </c>
      <c r="CX6" s="307" t="s">
        <v>1575</v>
      </c>
      <c r="CY6" s="310" t="s">
        <v>1176</v>
      </c>
      <c r="CZ6" s="311" t="s">
        <v>26</v>
      </c>
      <c r="DA6" s="312" t="s">
        <v>1576</v>
      </c>
      <c r="DB6" s="313" t="s">
        <v>1577</v>
      </c>
      <c r="DC6" s="314" t="s">
        <v>1578</v>
      </c>
      <c r="DD6" s="307" t="s">
        <v>1579</v>
      </c>
      <c r="DE6" s="315" t="s">
        <v>1580</v>
      </c>
      <c r="DF6" s="313" t="s">
        <v>26</v>
      </c>
      <c r="DG6" s="314" t="s">
        <v>1581</v>
      </c>
      <c r="DH6" s="182" t="s">
        <v>338</v>
      </c>
    </row>
    <row r="7" spans="1:129" ht="47.25" customHeight="1" thickTop="1" thickBot="1">
      <c r="A7" s="67" t="s">
        <v>144</v>
      </c>
      <c r="B7" s="68" t="s">
        <v>145</v>
      </c>
      <c r="C7" s="69" t="s">
        <v>162</v>
      </c>
      <c r="D7" s="69" t="s">
        <v>1582</v>
      </c>
      <c r="E7" s="69" t="s">
        <v>181</v>
      </c>
      <c r="F7" s="69" t="s">
        <v>150</v>
      </c>
      <c r="G7" s="68" t="s">
        <v>146</v>
      </c>
      <c r="H7" s="69" t="s">
        <v>147</v>
      </c>
      <c r="I7" s="70" t="s">
        <v>14</v>
      </c>
      <c r="J7" s="70" t="s">
        <v>163</v>
      </c>
      <c r="K7" s="298" t="s">
        <v>13</v>
      </c>
      <c r="L7" s="68" t="s">
        <v>1583</v>
      </c>
      <c r="M7" s="98" t="s">
        <v>164</v>
      </c>
      <c r="N7" s="98" t="s">
        <v>1541</v>
      </c>
      <c r="O7" s="69" t="s">
        <v>165</v>
      </c>
      <c r="P7" s="69" t="s">
        <v>166</v>
      </c>
      <c r="Q7" s="68" t="s">
        <v>1584</v>
      </c>
      <c r="R7" s="68" t="s">
        <v>1585</v>
      </c>
      <c r="S7" s="246" t="s">
        <v>1586</v>
      </c>
      <c r="T7" s="78" t="s">
        <v>203</v>
      </c>
      <c r="U7" s="238"/>
      <c r="V7" s="238"/>
      <c r="W7" s="33" t="s">
        <v>1071</v>
      </c>
      <c r="X7" s="33" t="s">
        <v>1169</v>
      </c>
      <c r="Z7" s="92" t="s">
        <v>1170</v>
      </c>
      <c r="AC7" s="92" t="s">
        <v>837</v>
      </c>
      <c r="AD7" s="33" t="s">
        <v>1128</v>
      </c>
      <c r="AG7" s="33" t="s">
        <v>1150</v>
      </c>
      <c r="AI7" s="33" t="s">
        <v>185</v>
      </c>
      <c r="AV7" s="92" t="s">
        <v>1439</v>
      </c>
      <c r="AW7" s="33" t="s">
        <v>166</v>
      </c>
      <c r="AX7" s="33" t="s">
        <v>1450</v>
      </c>
      <c r="AY7" s="33" t="s">
        <v>1451</v>
      </c>
      <c r="AZ7" s="33" t="s">
        <v>1452</v>
      </c>
      <c r="BE7" s="33" t="s">
        <v>1587</v>
      </c>
      <c r="BF7" s="33" t="s">
        <v>1588</v>
      </c>
      <c r="BG7" s="33" t="s">
        <v>1583</v>
      </c>
      <c r="BH7" s="33" t="s">
        <v>164</v>
      </c>
      <c r="BI7" s="33" t="s">
        <v>1589</v>
      </c>
      <c r="BJ7" s="33" t="s">
        <v>1590</v>
      </c>
      <c r="BK7" s="33" t="s">
        <v>1591</v>
      </c>
      <c r="BL7" s="33" t="s">
        <v>1592</v>
      </c>
      <c r="BM7" s="33" t="s">
        <v>1593</v>
      </c>
      <c r="BN7" s="33" t="s">
        <v>210</v>
      </c>
      <c r="BO7" s="33" t="s">
        <v>166</v>
      </c>
      <c r="BP7" s="33" t="s">
        <v>1594</v>
      </c>
      <c r="BR7" s="33" t="s">
        <v>1595</v>
      </c>
      <c r="BS7" s="33" t="s">
        <v>1596</v>
      </c>
      <c r="BT7" s="33" t="s">
        <v>1597</v>
      </c>
      <c r="BU7" s="33" t="s">
        <v>1598</v>
      </c>
      <c r="BV7" s="33" t="s">
        <v>1599</v>
      </c>
      <c r="BW7" s="33" t="s">
        <v>1600</v>
      </c>
      <c r="BX7" s="33" t="s">
        <v>1601</v>
      </c>
      <c r="BY7" s="33" t="s">
        <v>181</v>
      </c>
      <c r="BZ7" s="317" t="s">
        <v>1557</v>
      </c>
      <c r="CA7" s="317" t="s">
        <v>1558</v>
      </c>
      <c r="CB7" s="318" t="s">
        <v>1559</v>
      </c>
      <c r="CC7" s="319" t="s">
        <v>1560</v>
      </c>
      <c r="CD7" s="317" t="s">
        <v>1561</v>
      </c>
      <c r="CE7" s="320" t="s">
        <v>1562</v>
      </c>
      <c r="CF7" s="321" t="s">
        <v>1563</v>
      </c>
      <c r="CG7" s="322" t="s">
        <v>1564</v>
      </c>
      <c r="CH7" s="323" t="s">
        <v>1565</v>
      </c>
      <c r="CI7" s="324" t="s">
        <v>1566</v>
      </c>
      <c r="CJ7" s="317" t="s">
        <v>1567</v>
      </c>
      <c r="CK7" s="325" t="s">
        <v>1568</v>
      </c>
      <c r="CL7" s="323" t="s">
        <v>1569</v>
      </c>
      <c r="CM7" s="324" t="s">
        <v>1570</v>
      </c>
      <c r="CN7" s="327" t="s">
        <v>1602</v>
      </c>
      <c r="CO7" s="247" t="s">
        <v>1603</v>
      </c>
      <c r="CP7" s="247" t="s">
        <v>1604</v>
      </c>
      <c r="CQ7" s="247" t="s">
        <v>1605</v>
      </c>
      <c r="CS7" s="326" t="s">
        <v>1589</v>
      </c>
      <c r="CT7" s="326" t="str">
        <f>$BZ$7</f>
        <v>B1_Colour</v>
      </c>
      <c r="CU7" s="326" t="str">
        <f>$CA$7</f>
        <v>B10_Colour</v>
      </c>
      <c r="CV7" s="326" t="str">
        <f>$CB$7</f>
        <v>BL1_Colour</v>
      </c>
      <c r="CW7" s="326" t="str">
        <f>$CB$7</f>
        <v>BL1_Colour</v>
      </c>
      <c r="CX7" s="326" t="str">
        <f>$CD$7</f>
        <v>BL2_Colour</v>
      </c>
      <c r="CY7" s="326" t="str">
        <f>$CE$7</f>
        <v>BL9_Colour</v>
      </c>
      <c r="CZ7" s="326" t="str">
        <f>$CB$7</f>
        <v>BL1_Colour</v>
      </c>
      <c r="DA7" s="328" t="str">
        <f t="shared" ref="DA7:DG10" si="0">$DH$5</f>
        <v>ColourNA</v>
      </c>
      <c r="DB7" s="328" t="str">
        <f t="shared" si="0"/>
        <v>ColourNA</v>
      </c>
      <c r="DC7" s="328" t="str">
        <f t="shared" si="0"/>
        <v>ColourNA</v>
      </c>
      <c r="DD7" s="326" t="str">
        <f>$CJ$7</f>
        <v>LV1_Colour</v>
      </c>
      <c r="DE7" s="326" t="str">
        <f>$CK$7</f>
        <v>LV2_Colour</v>
      </c>
      <c r="DF7" s="326" t="str">
        <f>$CB$7</f>
        <v>BL1_Colour</v>
      </c>
      <c r="DG7" s="328" t="str">
        <f t="shared" ref="DG7" si="1">$DH$5</f>
        <v>ColourNA</v>
      </c>
      <c r="DI7" s="329" t="s">
        <v>1606</v>
      </c>
      <c r="DJ7" s="329" t="s">
        <v>1607</v>
      </c>
      <c r="DK7" s="329" t="s">
        <v>1608</v>
      </c>
      <c r="DP7" s="33" t="s">
        <v>1609</v>
      </c>
      <c r="DQ7" s="33" t="s">
        <v>1610</v>
      </c>
      <c r="DR7" s="33" t="s">
        <v>1605</v>
      </c>
      <c r="DS7" s="33" t="s">
        <v>1611</v>
      </c>
      <c r="DT7" s="33" t="s">
        <v>1612</v>
      </c>
      <c r="DU7" s="33" t="s">
        <v>1613</v>
      </c>
      <c r="DV7" s="329" t="s">
        <v>1614</v>
      </c>
      <c r="DW7" s="329" t="s">
        <v>1615</v>
      </c>
      <c r="DX7" s="329" t="s">
        <v>1616</v>
      </c>
      <c r="DY7" s="330" t="s">
        <v>1617</v>
      </c>
    </row>
    <row r="8" spans="1:129" ht="30" customHeight="1" thickTop="1">
      <c r="A8" s="51">
        <v>1</v>
      </c>
      <c r="B8" s="9"/>
      <c r="C8" s="23"/>
      <c r="D8" s="25"/>
      <c r="E8" s="25"/>
      <c r="F8" s="11"/>
      <c r="G8" s="10"/>
      <c r="H8" s="10"/>
      <c r="I8" s="24"/>
      <c r="J8" s="24"/>
      <c r="K8" s="297"/>
      <c r="L8" s="11"/>
      <c r="M8" s="11"/>
      <c r="N8" s="119"/>
      <c r="O8" s="25"/>
      <c r="P8" s="25"/>
      <c r="Q8" s="40"/>
      <c r="R8" s="40"/>
      <c r="S8" s="266" t="str">
        <f t="shared" ref="S8:S39" si="2">IF(SUM(C8)=0,"",SUM(((G8*H8)/1000000)))</f>
        <v/>
      </c>
      <c r="T8" s="185"/>
      <c r="U8" s="236"/>
      <c r="V8" s="237"/>
      <c r="BE8" s="33" t="s">
        <v>1589</v>
      </c>
      <c r="BF8" s="33" t="s">
        <v>1618</v>
      </c>
      <c r="BG8" s="33" t="s">
        <v>843</v>
      </c>
      <c r="BH8" s="33" t="s">
        <v>1619</v>
      </c>
      <c r="BI8" s="33" t="s">
        <v>338</v>
      </c>
      <c r="BJ8" s="33" t="s">
        <v>338</v>
      </c>
      <c r="BK8" s="33" t="s">
        <v>338</v>
      </c>
      <c r="BL8" s="33" t="s">
        <v>1618</v>
      </c>
      <c r="BM8" s="33" t="b">
        <f t="shared" ref="BM8:BM57" si="3">IF(D8=$BI$7,$BI$7, IF(D8=$BJ$7,$BJ$7,IF(D8=$BK$7,$BK$7,IF(D8=$BL$7,$BL$7))))</f>
        <v>0</v>
      </c>
      <c r="BN8" s="331" t="s">
        <v>843</v>
      </c>
      <c r="BO8" s="33" t="s">
        <v>843</v>
      </c>
      <c r="BP8" s="33" t="s">
        <v>843</v>
      </c>
      <c r="BQ8" s="33" t="s">
        <v>328</v>
      </c>
      <c r="BR8" s="33" t="s">
        <v>843</v>
      </c>
      <c r="BT8" s="33" t="str">
        <f t="shared" ref="BT8:BT57" si="4">IF(D8=$BE$9,$BR$7,$BO$7)</f>
        <v>Chain Colour</v>
      </c>
      <c r="BU8" s="33" t="s">
        <v>26</v>
      </c>
      <c r="BV8" s="33" t="s">
        <v>26</v>
      </c>
      <c r="BW8" s="33" t="s">
        <v>26</v>
      </c>
      <c r="BX8" s="33" t="s">
        <v>26</v>
      </c>
      <c r="BY8" s="33" t="b">
        <f t="shared" ref="BY8:BY57" si="5">IF(D8=$BE$8,$BU$7,IF(D8=$BE$9,$BV$7,IF(D8=$BE$10,$BW$7,IF(D8=$BE$11,$BX$7))))</f>
        <v>0</v>
      </c>
      <c r="BZ8" s="207" t="s">
        <v>1620</v>
      </c>
      <c r="CA8" s="207" t="s">
        <v>1621</v>
      </c>
      <c r="CB8" s="207" t="s">
        <v>1622</v>
      </c>
      <c r="CC8" s="207" t="s">
        <v>1623</v>
      </c>
      <c r="CD8" s="207" t="s">
        <v>1624</v>
      </c>
      <c r="CE8" s="207" t="s">
        <v>1625</v>
      </c>
      <c r="CF8" s="207" t="s">
        <v>1626</v>
      </c>
      <c r="CG8" s="207" t="s">
        <v>1627</v>
      </c>
      <c r="CH8" s="207" t="s">
        <v>1628</v>
      </c>
      <c r="CI8" s="207" t="s">
        <v>1629</v>
      </c>
      <c r="CJ8" s="207" t="s">
        <v>1630</v>
      </c>
      <c r="CK8" s="207" t="s">
        <v>1631</v>
      </c>
      <c r="CL8" s="207" t="s">
        <v>1632</v>
      </c>
      <c r="CM8" s="207" t="s">
        <v>1633</v>
      </c>
      <c r="CN8" s="247" t="b">
        <f t="shared" ref="CN8:CN32" si="6">IF(E8=$BZ$6,$BZ$7, IF(E8=$CA$6,$CA$7, IF(E8=$CB$6,$CB$7, IF(E8=$CC$6,$CC$7, IF(E8=$CD$6,$CD$7, IF(E8=$CE$6,$CE$7, IF(E8=$CF$6,$CF$7, IF(E8=$CG$6,$CG$7, IF(E8=$CH$6,$CH$7, IF(E8=$CI$6,$CI$7, IF(E8=$CJ$6,$CJ$7, IF(E8=$CK$6,$CK$7, IF(E8=$CL$6,$CL$7, IF(E8=$CM$6,$CM$7))))))))))))))</f>
        <v>0</v>
      </c>
      <c r="CO8" s="247" t="s">
        <v>69</v>
      </c>
      <c r="CP8" s="247" t="s">
        <v>338</v>
      </c>
      <c r="CQ8" s="247" t="str">
        <f t="shared" ref="CQ8:CQ57" si="7">IF(D8=$BE$11,$CP$7,$CO$7)</f>
        <v>Fabric Insert Option</v>
      </c>
      <c r="CS8" s="326" t="s">
        <v>1590</v>
      </c>
      <c r="CT8" s="328" t="str">
        <f t="shared" ref="CT8:CU9" si="8">$DH$5</f>
        <v>ColourNA</v>
      </c>
      <c r="CU8" s="328" t="str">
        <f t="shared" si="8"/>
        <v>ColourNA</v>
      </c>
      <c r="CV8" s="326" t="str">
        <f>$CC$7</f>
        <v>BL11_Colour</v>
      </c>
      <c r="CW8" s="326" t="str">
        <f>$CC$7</f>
        <v>BL11_Colour</v>
      </c>
      <c r="CX8" s="328" t="str">
        <f t="shared" ref="CX8:CY9" si="9">$DH$5</f>
        <v>ColourNA</v>
      </c>
      <c r="CY8" s="328" t="str">
        <f t="shared" si="9"/>
        <v>ColourNA</v>
      </c>
      <c r="CZ8" s="326" t="str">
        <f>$CC$7</f>
        <v>BL11_Colour</v>
      </c>
      <c r="DA8" s="328" t="str">
        <f t="shared" si="0"/>
        <v>ColourNA</v>
      </c>
      <c r="DB8" s="328" t="str">
        <f t="shared" si="0"/>
        <v>ColourNA</v>
      </c>
      <c r="DC8" s="328" t="str">
        <f t="shared" si="0"/>
        <v>ColourNA</v>
      </c>
      <c r="DD8" s="328" t="str">
        <f t="shared" si="0"/>
        <v>ColourNA</v>
      </c>
      <c r="DE8" s="328" t="str">
        <f t="shared" si="0"/>
        <v>ColourNA</v>
      </c>
      <c r="DF8" s="326" t="str">
        <f>$CC$7</f>
        <v>BL11_Colour</v>
      </c>
      <c r="DG8" s="328" t="str">
        <f t="shared" si="0"/>
        <v>ColourNA</v>
      </c>
      <c r="DI8" s="329" t="e">
        <f t="shared" ref="DI8:DI57" si="10">MATCH(D8,$CS$7:$CS$10,0)</f>
        <v>#N/A</v>
      </c>
      <c r="DJ8" s="329" t="e">
        <f t="shared" ref="DJ8:DJ57" si="11">MATCH(E8,$CT$6:$DG$6,0)</f>
        <v>#N/A</v>
      </c>
      <c r="DK8" s="329" t="e">
        <f>INDEX($CT$7:$DG$10,DI8,DJ8)</f>
        <v>#N/A</v>
      </c>
      <c r="DP8" s="33" t="s">
        <v>69</v>
      </c>
      <c r="DQ8" s="33" t="s">
        <v>338</v>
      </c>
      <c r="DR8" s="247" t="str">
        <f>IF(D8=$BE$11,$DP$7,$DQ$7)</f>
        <v>Vertical Extension Bracket Option NA</v>
      </c>
      <c r="DS8" s="33" t="s">
        <v>843</v>
      </c>
      <c r="DT8" s="33" t="s">
        <v>383</v>
      </c>
      <c r="DU8" s="332" t="str">
        <f>IF(OR(E8="Jacquard Crush",E8="Jacquard Weave"),$DT$7,$DS$7)</f>
        <v>Other Bottom Rail Colour</v>
      </c>
      <c r="DV8" s="330" t="s">
        <v>26</v>
      </c>
      <c r="DW8" s="330" t="s">
        <v>1634</v>
      </c>
      <c r="DX8" s="330" t="s">
        <v>26</v>
      </c>
      <c r="DY8" s="330" t="b">
        <f>IF(D8=$BE$8,$DV$7,IF(D8=$BE$9,$DW$7,IF(D8=$BE$10,$DX$7)))</f>
        <v>0</v>
      </c>
    </row>
    <row r="9" spans="1:129" ht="30" customHeight="1">
      <c r="A9" s="52">
        <v>2</v>
      </c>
      <c r="B9" s="13"/>
      <c r="C9" s="27"/>
      <c r="D9" s="13"/>
      <c r="E9" s="13"/>
      <c r="F9" s="15"/>
      <c r="G9" s="10"/>
      <c r="H9" s="10"/>
      <c r="I9" s="14"/>
      <c r="J9" s="14"/>
      <c r="K9" s="296"/>
      <c r="L9" s="15"/>
      <c r="M9" s="15"/>
      <c r="N9" s="118"/>
      <c r="O9" s="13"/>
      <c r="P9" s="13"/>
      <c r="Q9" s="13"/>
      <c r="R9" s="13"/>
      <c r="S9" s="267" t="str">
        <f t="shared" si="2"/>
        <v/>
      </c>
      <c r="T9" s="186"/>
      <c r="U9" s="236"/>
      <c r="V9" s="237"/>
      <c r="BE9" s="33" t="s">
        <v>1590</v>
      </c>
      <c r="BF9" s="33" t="s">
        <v>1635</v>
      </c>
      <c r="BG9" s="33" t="s">
        <v>1619</v>
      </c>
      <c r="BH9" s="33" t="s">
        <v>383</v>
      </c>
      <c r="BL9" s="33" t="s">
        <v>1635</v>
      </c>
      <c r="BM9" s="33" t="b">
        <f t="shared" si="3"/>
        <v>0</v>
      </c>
      <c r="BN9" s="33" t="s">
        <v>1619</v>
      </c>
      <c r="BO9" s="33" t="s">
        <v>332</v>
      </c>
      <c r="BP9" s="33" t="s">
        <v>1419</v>
      </c>
      <c r="BQ9" s="33" t="s">
        <v>411</v>
      </c>
      <c r="BR9" s="33" t="s">
        <v>1619</v>
      </c>
      <c r="BT9" s="33" t="str">
        <f t="shared" si="4"/>
        <v>Chain Colour</v>
      </c>
      <c r="BU9" s="33" t="s">
        <v>1176</v>
      </c>
      <c r="BW9" s="33" t="s">
        <v>1577</v>
      </c>
      <c r="BX9" s="33" t="s">
        <v>1576</v>
      </c>
      <c r="BY9" s="33" t="b">
        <f t="shared" si="5"/>
        <v>0</v>
      </c>
      <c r="BZ9" s="207" t="s">
        <v>1636</v>
      </c>
      <c r="CA9" s="207" t="s">
        <v>1637</v>
      </c>
      <c r="CB9" s="207" t="s">
        <v>1638</v>
      </c>
      <c r="CC9" s="207" t="s">
        <v>1639</v>
      </c>
      <c r="CD9" s="207" t="s">
        <v>1640</v>
      </c>
      <c r="CE9" s="207" t="s">
        <v>1641</v>
      </c>
      <c r="CF9" s="207" t="s">
        <v>1642</v>
      </c>
      <c r="CG9" s="207" t="s">
        <v>1643</v>
      </c>
      <c r="CH9" s="207" t="s">
        <v>1644</v>
      </c>
      <c r="CI9" s="207" t="s">
        <v>1645</v>
      </c>
      <c r="CJ9" s="207" t="s">
        <v>1646</v>
      </c>
      <c r="CK9" s="207" t="s">
        <v>1647</v>
      </c>
      <c r="CL9" s="207" t="s">
        <v>1648</v>
      </c>
      <c r="CM9" s="207" t="s">
        <v>1649</v>
      </c>
      <c r="CN9" s="247" t="b">
        <f t="shared" si="6"/>
        <v>0</v>
      </c>
      <c r="CO9" s="247" t="s">
        <v>22</v>
      </c>
      <c r="CQ9" s="247" t="str">
        <f t="shared" si="7"/>
        <v>Fabric Insert Option</v>
      </c>
      <c r="CS9" s="326" t="s">
        <v>1591</v>
      </c>
      <c r="CT9" s="328" t="str">
        <f>$DH$5</f>
        <v>ColourNA</v>
      </c>
      <c r="CU9" s="328" t="str">
        <f t="shared" si="8"/>
        <v>ColourNA</v>
      </c>
      <c r="CV9" s="326" t="str">
        <f>$CL$7</f>
        <v>S6_Colour</v>
      </c>
      <c r="CW9" s="326" t="str">
        <f>$CL$7</f>
        <v>S6_Colour</v>
      </c>
      <c r="CX9" s="328" t="str">
        <f t="shared" si="9"/>
        <v>ColourNA</v>
      </c>
      <c r="CY9" s="328" t="str">
        <f t="shared" si="9"/>
        <v>ColourNA</v>
      </c>
      <c r="CZ9" s="326" t="str">
        <f>$CL$7</f>
        <v>S6_Colour</v>
      </c>
      <c r="DA9" s="328" t="str">
        <f>$DH$5</f>
        <v>ColourNA</v>
      </c>
      <c r="DB9" s="326" t="str">
        <f>$CH$7</f>
        <v>E1_Colour</v>
      </c>
      <c r="DC9" s="326" t="str">
        <f>$CI$7</f>
        <v>FR_S6_Colour</v>
      </c>
      <c r="DD9" s="328" t="str">
        <f t="shared" si="0"/>
        <v>ColourNA</v>
      </c>
      <c r="DE9" s="328" t="str">
        <f t="shared" si="0"/>
        <v>ColourNA</v>
      </c>
      <c r="DF9" s="326" t="str">
        <f>$CL$7</f>
        <v>S6_Colour</v>
      </c>
      <c r="DG9" s="326" t="str">
        <f>$CM$7</f>
        <v>S9_Colour</v>
      </c>
      <c r="DI9" s="329" t="e">
        <f t="shared" si="10"/>
        <v>#N/A</v>
      </c>
      <c r="DJ9" s="329" t="e">
        <f t="shared" si="11"/>
        <v>#N/A</v>
      </c>
      <c r="DK9" s="329" t="e">
        <f t="shared" ref="DK9:DK57" si="12">INDEX($CT$7:$DG$10,DI9,DJ9)</f>
        <v>#N/A</v>
      </c>
      <c r="DP9" s="33" t="s">
        <v>22</v>
      </c>
      <c r="DR9" s="247" t="str">
        <f t="shared" ref="DR9:DR57" si="13">IF(D9=$BE$11,$DP$7,$DQ$7)</f>
        <v>Vertical Extension Bracket Option NA</v>
      </c>
      <c r="DT9" s="33" t="s">
        <v>328</v>
      </c>
      <c r="DU9" s="332" t="str">
        <f t="shared" ref="DU9:DU57" si="14">IF(OR(E9="Jacquard Crush",E9="Jacquard Weave"),$DT$7,$DS$7)</f>
        <v>Other Bottom Rail Colour</v>
      </c>
      <c r="DV9" s="330" t="s">
        <v>1634</v>
      </c>
      <c r="DY9" s="330" t="b">
        <f t="shared" ref="DY9:DY57" si="15">IF(D9=$BE$8,$DV$7,IF(D9=$BE$9,$DW$7,IF(D9=$BE$10,$DX$7)))</f>
        <v>0</v>
      </c>
    </row>
    <row r="10" spans="1:129" ht="30" customHeight="1">
      <c r="A10" s="53">
        <v>3</v>
      </c>
      <c r="B10" s="17"/>
      <c r="C10" s="17"/>
      <c r="D10" s="13"/>
      <c r="E10" s="13"/>
      <c r="F10" s="15"/>
      <c r="G10" s="10"/>
      <c r="H10" s="10"/>
      <c r="I10" s="14"/>
      <c r="J10" s="14"/>
      <c r="K10" s="296"/>
      <c r="L10" s="15"/>
      <c r="M10" s="15"/>
      <c r="N10" s="118"/>
      <c r="O10" s="13"/>
      <c r="P10" s="13"/>
      <c r="Q10" s="13"/>
      <c r="R10" s="13"/>
      <c r="S10" s="267" t="str">
        <f t="shared" si="2"/>
        <v/>
      </c>
      <c r="T10" s="186"/>
      <c r="U10" s="236"/>
      <c r="V10" s="237"/>
      <c r="BE10" s="33" t="s">
        <v>1591</v>
      </c>
      <c r="BF10" s="33" t="s">
        <v>1650</v>
      </c>
      <c r="BG10" s="33" t="s">
        <v>383</v>
      </c>
      <c r="BH10" s="33" t="s">
        <v>1651</v>
      </c>
      <c r="BL10" s="33" t="s">
        <v>1650</v>
      </c>
      <c r="BM10" s="33" t="b">
        <f t="shared" si="3"/>
        <v>0</v>
      </c>
      <c r="BN10" s="33" t="s">
        <v>383</v>
      </c>
      <c r="BP10" s="33" t="s">
        <v>1420</v>
      </c>
      <c r="BQ10" s="33" t="s">
        <v>383</v>
      </c>
      <c r="BR10" s="33" t="s">
        <v>383</v>
      </c>
      <c r="BT10" s="33" t="str">
        <f t="shared" si="4"/>
        <v>Chain Colour</v>
      </c>
      <c r="BU10" s="33" t="s">
        <v>1574</v>
      </c>
      <c r="BW10" s="33" t="s">
        <v>1578</v>
      </c>
      <c r="BY10" s="33" t="b">
        <f t="shared" si="5"/>
        <v>0</v>
      </c>
      <c r="BZ10" s="207" t="s">
        <v>1652</v>
      </c>
      <c r="CA10" s="207" t="s">
        <v>1653</v>
      </c>
      <c r="CB10" s="207" t="s">
        <v>1654</v>
      </c>
      <c r="CC10" s="207" t="s">
        <v>1655</v>
      </c>
      <c r="CD10" s="207" t="s">
        <v>1656</v>
      </c>
      <c r="CE10" s="207" t="s">
        <v>1657</v>
      </c>
      <c r="CF10" s="207" t="s">
        <v>1658</v>
      </c>
      <c r="CG10" s="207" t="s">
        <v>1659</v>
      </c>
      <c r="CH10" s="207" t="s">
        <v>1660</v>
      </c>
      <c r="CI10" s="207" t="s">
        <v>1661</v>
      </c>
      <c r="CJ10" s="207" t="s">
        <v>1662</v>
      </c>
      <c r="CK10" s="207" t="s">
        <v>1663</v>
      </c>
      <c r="CL10" s="207" t="s">
        <v>1664</v>
      </c>
      <c r="CM10" s="207" t="s">
        <v>1665</v>
      </c>
      <c r="CN10" s="247" t="b">
        <f t="shared" si="6"/>
        <v>0</v>
      </c>
      <c r="CQ10" s="247" t="str">
        <f t="shared" si="7"/>
        <v>Fabric Insert Option</v>
      </c>
      <c r="CS10" s="326" t="s">
        <v>1592</v>
      </c>
      <c r="CT10" s="328" t="str">
        <f t="shared" ref="CT10:CY10" si="16">$DH$5</f>
        <v>ColourNA</v>
      </c>
      <c r="CU10" s="328" t="str">
        <f t="shared" si="16"/>
        <v>ColourNA</v>
      </c>
      <c r="CV10" s="326" t="str">
        <f>$CF$7</f>
        <v>DS1_Colour</v>
      </c>
      <c r="CW10" s="326" t="str">
        <f>$CF$7</f>
        <v>DS1_Colour</v>
      </c>
      <c r="CX10" s="328" t="str">
        <f t="shared" si="16"/>
        <v>ColourNA</v>
      </c>
      <c r="CY10" s="328" t="str">
        <f t="shared" si="16"/>
        <v>ColourNA</v>
      </c>
      <c r="CZ10" s="326" t="str">
        <f>$CF$7</f>
        <v>DS1_Colour</v>
      </c>
      <c r="DA10" s="326" t="str">
        <f>$CG$7</f>
        <v>DS6_Colour</v>
      </c>
      <c r="DB10" s="328" t="str">
        <f t="shared" si="0"/>
        <v>ColourNA</v>
      </c>
      <c r="DC10" s="328" t="str">
        <f t="shared" si="0"/>
        <v>ColourNA</v>
      </c>
      <c r="DD10" s="328" t="str">
        <f t="shared" si="0"/>
        <v>ColourNA</v>
      </c>
      <c r="DE10" s="328" t="str">
        <f t="shared" si="0"/>
        <v>ColourNA</v>
      </c>
      <c r="DF10" s="326" t="str">
        <f>$CF$7</f>
        <v>DS1_Colour</v>
      </c>
      <c r="DG10" s="328" t="str">
        <f t="shared" si="0"/>
        <v>ColourNA</v>
      </c>
      <c r="DI10" s="329" t="e">
        <f t="shared" si="10"/>
        <v>#N/A</v>
      </c>
      <c r="DJ10" s="329" t="e">
        <f t="shared" si="11"/>
        <v>#N/A</v>
      </c>
      <c r="DK10" s="329" t="e">
        <f t="shared" si="12"/>
        <v>#N/A</v>
      </c>
      <c r="DR10" s="247" t="str">
        <f t="shared" si="13"/>
        <v>Vertical Extension Bracket Option NA</v>
      </c>
      <c r="DU10" s="330" t="str">
        <f t="shared" si="14"/>
        <v>Other Bottom Rail Colour</v>
      </c>
      <c r="DY10" s="330" t="b">
        <f t="shared" si="15"/>
        <v>0</v>
      </c>
    </row>
    <row r="11" spans="1:129" ht="30" customHeight="1">
      <c r="A11" s="53">
        <v>4</v>
      </c>
      <c r="B11" s="17"/>
      <c r="C11" s="17"/>
      <c r="D11" s="13"/>
      <c r="E11" s="13"/>
      <c r="F11" s="15"/>
      <c r="G11" s="10"/>
      <c r="H11" s="10"/>
      <c r="I11" s="14"/>
      <c r="J11" s="14"/>
      <c r="K11" s="296"/>
      <c r="L11" s="15"/>
      <c r="M11" s="15"/>
      <c r="N11" s="118"/>
      <c r="O11" s="13"/>
      <c r="P11" s="13"/>
      <c r="Q11" s="13"/>
      <c r="R11" s="13"/>
      <c r="S11" s="267" t="str">
        <f t="shared" si="2"/>
        <v/>
      </c>
      <c r="T11" s="186"/>
      <c r="U11" s="236"/>
      <c r="V11" s="237"/>
      <c r="BE11" s="33" t="s">
        <v>1592</v>
      </c>
      <c r="BF11" s="33" t="s">
        <v>1666</v>
      </c>
      <c r="BG11" s="33" t="s">
        <v>1651</v>
      </c>
      <c r="BH11" s="33" t="s">
        <v>1099</v>
      </c>
      <c r="BL11" s="33" t="s">
        <v>1666</v>
      </c>
      <c r="BM11" s="33" t="b">
        <f t="shared" si="3"/>
        <v>0</v>
      </c>
      <c r="BN11" s="33" t="s">
        <v>1651</v>
      </c>
      <c r="BP11" s="33" t="s">
        <v>1421</v>
      </c>
      <c r="BQ11" s="33" t="s">
        <v>1438</v>
      </c>
      <c r="BR11" s="33" t="s">
        <v>1651</v>
      </c>
      <c r="BT11" s="33" t="str">
        <f t="shared" si="4"/>
        <v>Chain Colour</v>
      </c>
      <c r="BU11" s="33" t="s">
        <v>1580</v>
      </c>
      <c r="BW11" s="33" t="s">
        <v>1581</v>
      </c>
      <c r="BY11" s="33" t="b">
        <f t="shared" si="5"/>
        <v>0</v>
      </c>
      <c r="BZ11" s="207" t="s">
        <v>1667</v>
      </c>
      <c r="CA11" s="207" t="s">
        <v>1668</v>
      </c>
      <c r="CB11" s="207" t="s">
        <v>1669</v>
      </c>
      <c r="CC11" s="207" t="s">
        <v>1670</v>
      </c>
      <c r="CD11" s="207" t="s">
        <v>1671</v>
      </c>
      <c r="CE11" s="207" t="s">
        <v>1672</v>
      </c>
      <c r="CF11" s="207" t="s">
        <v>1673</v>
      </c>
      <c r="CG11" s="207" t="s">
        <v>1674</v>
      </c>
      <c r="CH11" s="207" t="s">
        <v>1675</v>
      </c>
      <c r="CI11" s="207" t="s">
        <v>1676</v>
      </c>
      <c r="CJ11" s="207" t="s">
        <v>1677</v>
      </c>
      <c r="CK11" s="207" t="s">
        <v>1678</v>
      </c>
      <c r="CL11" s="207" t="s">
        <v>1679</v>
      </c>
      <c r="CM11" s="207" t="s">
        <v>1680</v>
      </c>
      <c r="CN11" s="247" t="b">
        <f t="shared" si="6"/>
        <v>0</v>
      </c>
      <c r="CQ11" s="247" t="str">
        <f t="shared" si="7"/>
        <v>Fabric Insert Option</v>
      </c>
      <c r="DI11" s="329" t="e">
        <f t="shared" si="10"/>
        <v>#N/A</v>
      </c>
      <c r="DJ11" s="329" t="e">
        <f t="shared" si="11"/>
        <v>#N/A</v>
      </c>
      <c r="DK11" s="329" t="e">
        <f t="shared" si="12"/>
        <v>#N/A</v>
      </c>
      <c r="DR11" s="247" t="str">
        <f t="shared" si="13"/>
        <v>Vertical Extension Bracket Option NA</v>
      </c>
      <c r="DU11" s="330" t="str">
        <f t="shared" si="14"/>
        <v>Other Bottom Rail Colour</v>
      </c>
      <c r="DY11" s="330" t="b">
        <f t="shared" si="15"/>
        <v>0</v>
      </c>
    </row>
    <row r="12" spans="1:129" ht="30" customHeight="1">
      <c r="A12" s="53">
        <v>5</v>
      </c>
      <c r="B12" s="17"/>
      <c r="C12" s="17"/>
      <c r="D12" s="13"/>
      <c r="E12" s="13"/>
      <c r="F12" s="15"/>
      <c r="G12" s="10"/>
      <c r="H12" s="10"/>
      <c r="I12" s="14"/>
      <c r="J12" s="14"/>
      <c r="K12" s="296"/>
      <c r="L12" s="15"/>
      <c r="M12" s="15"/>
      <c r="N12" s="118"/>
      <c r="O12" s="13"/>
      <c r="P12" s="13"/>
      <c r="Q12" s="13"/>
      <c r="R12" s="13"/>
      <c r="S12" s="267" t="str">
        <f t="shared" si="2"/>
        <v/>
      </c>
      <c r="T12" s="186"/>
      <c r="U12" s="236"/>
      <c r="V12" s="237"/>
      <c r="BG12" s="33" t="s">
        <v>1099</v>
      </c>
      <c r="BH12" s="33" t="s">
        <v>414</v>
      </c>
      <c r="BM12" s="33" t="b">
        <f t="shared" si="3"/>
        <v>0</v>
      </c>
      <c r="BN12" s="33" t="s">
        <v>1099</v>
      </c>
      <c r="BP12" s="33" t="s">
        <v>1422</v>
      </c>
      <c r="BQ12" s="33" t="s">
        <v>332</v>
      </c>
      <c r="BR12" s="33" t="s">
        <v>1099</v>
      </c>
      <c r="BT12" s="33" t="str">
        <f t="shared" si="4"/>
        <v>Chain Colour</v>
      </c>
      <c r="BU12" s="33" t="s">
        <v>1579</v>
      </c>
      <c r="BY12" s="33" t="b">
        <f t="shared" si="5"/>
        <v>0</v>
      </c>
      <c r="BZ12" s="207" t="s">
        <v>1681</v>
      </c>
      <c r="CA12" s="207" t="s">
        <v>1682</v>
      </c>
      <c r="CB12" s="207" t="s">
        <v>1683</v>
      </c>
      <c r="CC12" s="207" t="s">
        <v>1684</v>
      </c>
      <c r="CD12" s="207" t="s">
        <v>1685</v>
      </c>
      <c r="CE12" s="207" t="s">
        <v>1686</v>
      </c>
      <c r="CF12" s="207" t="s">
        <v>1687</v>
      </c>
      <c r="CG12" s="207" t="s">
        <v>1688</v>
      </c>
      <c r="CH12" s="207" t="s">
        <v>1689</v>
      </c>
      <c r="CI12" s="207" t="s">
        <v>1690</v>
      </c>
      <c r="CJ12" s="207" t="s">
        <v>1691</v>
      </c>
      <c r="CK12" s="207" t="s">
        <v>1692</v>
      </c>
      <c r="CL12" s="207" t="s">
        <v>1693</v>
      </c>
      <c r="CM12" s="207" t="s">
        <v>1694</v>
      </c>
      <c r="CN12" s="247" t="b">
        <f t="shared" si="6"/>
        <v>0</v>
      </c>
      <c r="CQ12" s="247" t="str">
        <f t="shared" si="7"/>
        <v>Fabric Insert Option</v>
      </c>
      <c r="DI12" s="329" t="e">
        <f t="shared" si="10"/>
        <v>#N/A</v>
      </c>
      <c r="DJ12" s="329" t="e">
        <f t="shared" si="11"/>
        <v>#N/A</v>
      </c>
      <c r="DK12" s="329" t="e">
        <f t="shared" si="12"/>
        <v>#N/A</v>
      </c>
      <c r="DR12" s="247" t="str">
        <f t="shared" si="13"/>
        <v>Vertical Extension Bracket Option NA</v>
      </c>
      <c r="DU12" s="330" t="str">
        <f t="shared" si="14"/>
        <v>Other Bottom Rail Colour</v>
      </c>
      <c r="DY12" s="330" t="b">
        <f t="shared" si="15"/>
        <v>0</v>
      </c>
    </row>
    <row r="13" spans="1:129" ht="30" customHeight="1">
      <c r="A13" s="53">
        <v>6</v>
      </c>
      <c r="B13" s="17"/>
      <c r="C13" s="17"/>
      <c r="D13" s="13"/>
      <c r="E13" s="13"/>
      <c r="F13" s="15"/>
      <c r="G13" s="10"/>
      <c r="H13" s="10"/>
      <c r="I13" s="14"/>
      <c r="J13" s="14"/>
      <c r="K13" s="296"/>
      <c r="L13" s="15"/>
      <c r="M13" s="15"/>
      <c r="N13" s="118"/>
      <c r="O13" s="13"/>
      <c r="P13" s="13"/>
      <c r="Q13" s="13"/>
      <c r="R13" s="13"/>
      <c r="S13" s="267" t="str">
        <f t="shared" si="2"/>
        <v/>
      </c>
      <c r="T13" s="186"/>
      <c r="U13" s="236"/>
      <c r="V13" s="237"/>
      <c r="BG13" s="331" t="s">
        <v>414</v>
      </c>
      <c r="BH13" s="331" t="s">
        <v>1695</v>
      </c>
      <c r="BM13" s="33" t="b">
        <f t="shared" si="3"/>
        <v>0</v>
      </c>
      <c r="BN13" s="33" t="s">
        <v>1695</v>
      </c>
      <c r="BP13" s="33" t="s">
        <v>1423</v>
      </c>
      <c r="BR13" s="33" t="s">
        <v>1695</v>
      </c>
      <c r="BT13" s="33" t="str">
        <f t="shared" si="4"/>
        <v>Chain Colour</v>
      </c>
      <c r="BU13" s="33" t="s">
        <v>1575</v>
      </c>
      <c r="BY13" s="33" t="b">
        <f t="shared" si="5"/>
        <v>0</v>
      </c>
      <c r="BZ13" s="207" t="s">
        <v>1696</v>
      </c>
      <c r="CA13" s="207" t="s">
        <v>1697</v>
      </c>
      <c r="CB13" s="207" t="s">
        <v>1698</v>
      </c>
      <c r="CC13" s="207"/>
      <c r="CD13" s="207" t="s">
        <v>1699</v>
      </c>
      <c r="CE13" s="207" t="s">
        <v>1700</v>
      </c>
      <c r="CF13" s="207" t="s">
        <v>1701</v>
      </c>
      <c r="CG13" s="207" t="s">
        <v>1702</v>
      </c>
      <c r="CH13" s="207" t="s">
        <v>1703</v>
      </c>
      <c r="CI13" s="207" t="s">
        <v>1704</v>
      </c>
      <c r="CJ13" s="207" t="s">
        <v>1705</v>
      </c>
      <c r="CK13" s="207" t="s">
        <v>1706</v>
      </c>
      <c r="CL13" s="207" t="s">
        <v>1707</v>
      </c>
      <c r="CM13" s="207" t="s">
        <v>1708</v>
      </c>
      <c r="CN13" s="247" t="b">
        <f t="shared" si="6"/>
        <v>0</v>
      </c>
      <c r="CQ13" s="247" t="str">
        <f t="shared" si="7"/>
        <v>Fabric Insert Option</v>
      </c>
      <c r="DI13" s="329" t="e">
        <f t="shared" si="10"/>
        <v>#N/A</v>
      </c>
      <c r="DJ13" s="329" t="e">
        <f t="shared" si="11"/>
        <v>#N/A</v>
      </c>
      <c r="DK13" s="329" t="e">
        <f t="shared" si="12"/>
        <v>#N/A</v>
      </c>
      <c r="DR13" s="247" t="str">
        <f t="shared" si="13"/>
        <v>Vertical Extension Bracket Option NA</v>
      </c>
      <c r="DU13" s="330" t="str">
        <f t="shared" si="14"/>
        <v>Other Bottom Rail Colour</v>
      </c>
      <c r="DY13" s="330" t="b">
        <f t="shared" si="15"/>
        <v>0</v>
      </c>
    </row>
    <row r="14" spans="1:129" ht="30" customHeight="1">
      <c r="A14" s="53">
        <v>7</v>
      </c>
      <c r="B14" s="17"/>
      <c r="C14" s="17"/>
      <c r="D14" s="13"/>
      <c r="E14" s="13"/>
      <c r="F14" s="15"/>
      <c r="G14" s="10"/>
      <c r="H14" s="10"/>
      <c r="I14" s="14"/>
      <c r="J14" s="14"/>
      <c r="K14" s="296"/>
      <c r="L14" s="15"/>
      <c r="M14" s="15"/>
      <c r="N14" s="118"/>
      <c r="O14" s="13"/>
      <c r="P14" s="13"/>
      <c r="Q14" s="13"/>
      <c r="R14" s="13"/>
      <c r="S14" s="267" t="str">
        <f t="shared" si="2"/>
        <v/>
      </c>
      <c r="T14" s="186"/>
      <c r="U14" s="236"/>
      <c r="V14" s="237"/>
      <c r="BG14" s="33" t="s">
        <v>1695</v>
      </c>
      <c r="BH14" s="33" t="s">
        <v>328</v>
      </c>
      <c r="BM14" s="33" t="b">
        <f t="shared" si="3"/>
        <v>0</v>
      </c>
      <c r="BN14" s="331" t="s">
        <v>1709</v>
      </c>
      <c r="BP14" s="33" t="s">
        <v>1424</v>
      </c>
      <c r="BR14" s="33" t="s">
        <v>1709</v>
      </c>
      <c r="BT14" s="33" t="str">
        <f t="shared" si="4"/>
        <v>Chain Colour</v>
      </c>
      <c r="BU14" s="33" t="s">
        <v>1573</v>
      </c>
      <c r="BY14" s="33" t="b">
        <f t="shared" si="5"/>
        <v>0</v>
      </c>
      <c r="BZ14" s="207" t="s">
        <v>1710</v>
      </c>
      <c r="CA14" s="207" t="s">
        <v>1711</v>
      </c>
      <c r="CB14" s="207" t="s">
        <v>1712</v>
      </c>
      <c r="CC14" s="207"/>
      <c r="CD14" s="207" t="s">
        <v>1713</v>
      </c>
      <c r="CE14" s="207" t="s">
        <v>1714</v>
      </c>
      <c r="CF14" s="207" t="s">
        <v>1715</v>
      </c>
      <c r="CG14" s="207"/>
      <c r="CH14" s="207" t="s">
        <v>1716</v>
      </c>
      <c r="CI14" s="207"/>
      <c r="CJ14" s="207" t="s">
        <v>1717</v>
      </c>
      <c r="CK14" s="207"/>
      <c r="CL14" s="207" t="s">
        <v>1718</v>
      </c>
      <c r="CM14" s="207" t="s">
        <v>1719</v>
      </c>
      <c r="CN14" s="247" t="b">
        <f t="shared" si="6"/>
        <v>0</v>
      </c>
      <c r="CQ14" s="247" t="str">
        <f t="shared" si="7"/>
        <v>Fabric Insert Option</v>
      </c>
      <c r="DI14" s="329" t="e">
        <f t="shared" si="10"/>
        <v>#N/A</v>
      </c>
      <c r="DJ14" s="329" t="e">
        <f t="shared" si="11"/>
        <v>#N/A</v>
      </c>
      <c r="DK14" s="329" t="e">
        <f t="shared" si="12"/>
        <v>#N/A</v>
      </c>
      <c r="DR14" s="247" t="str">
        <f t="shared" si="13"/>
        <v>Vertical Extension Bracket Option NA</v>
      </c>
      <c r="DU14" s="330" t="str">
        <f t="shared" si="14"/>
        <v>Other Bottom Rail Colour</v>
      </c>
      <c r="DY14" s="330" t="b">
        <f t="shared" si="15"/>
        <v>0</v>
      </c>
    </row>
    <row r="15" spans="1:129" ht="30" customHeight="1">
      <c r="A15" s="53">
        <v>8</v>
      </c>
      <c r="B15" s="17"/>
      <c r="C15" s="17"/>
      <c r="D15" s="19"/>
      <c r="E15" s="13"/>
      <c r="F15" s="15"/>
      <c r="G15" s="10"/>
      <c r="H15" s="10"/>
      <c r="I15" s="14"/>
      <c r="J15" s="14"/>
      <c r="K15" s="296"/>
      <c r="L15" s="15"/>
      <c r="M15" s="15"/>
      <c r="N15" s="118"/>
      <c r="O15" s="13"/>
      <c r="P15" s="13"/>
      <c r="Q15" s="13"/>
      <c r="R15" s="13"/>
      <c r="S15" s="267" t="str">
        <f t="shared" si="2"/>
        <v/>
      </c>
      <c r="T15" s="186"/>
      <c r="U15" s="236"/>
      <c r="V15" s="237"/>
      <c r="BG15" s="333" t="s">
        <v>328</v>
      </c>
      <c r="BH15" s="333"/>
      <c r="BM15" s="33" t="b">
        <f t="shared" si="3"/>
        <v>0</v>
      </c>
      <c r="BN15" s="33" t="s">
        <v>328</v>
      </c>
      <c r="BR15" s="33" t="s">
        <v>328</v>
      </c>
      <c r="BT15" s="33" t="str">
        <f t="shared" si="4"/>
        <v>Chain Colour</v>
      </c>
      <c r="BY15" s="33" t="b">
        <f t="shared" si="5"/>
        <v>0</v>
      </c>
      <c r="BZ15" s="207" t="s">
        <v>1720</v>
      </c>
      <c r="CA15" s="207" t="s">
        <v>1721</v>
      </c>
      <c r="CB15" s="207" t="s">
        <v>1722</v>
      </c>
      <c r="CC15" s="207"/>
      <c r="CD15" s="207" t="s">
        <v>1723</v>
      </c>
      <c r="CE15" s="207" t="s">
        <v>1724</v>
      </c>
      <c r="CF15" s="207" t="s">
        <v>1725</v>
      </c>
      <c r="CG15" s="207"/>
      <c r="CH15" s="207" t="s">
        <v>1726</v>
      </c>
      <c r="CI15" s="207"/>
      <c r="CJ15" s="207"/>
      <c r="CK15" s="207"/>
      <c r="CL15" s="207" t="s">
        <v>1727</v>
      </c>
      <c r="CM15" s="207" t="s">
        <v>1728</v>
      </c>
      <c r="CN15" s="247" t="b">
        <f t="shared" si="6"/>
        <v>0</v>
      </c>
      <c r="CQ15" s="247" t="str">
        <f t="shared" si="7"/>
        <v>Fabric Insert Option</v>
      </c>
      <c r="DI15" s="329" t="e">
        <f t="shared" si="10"/>
        <v>#N/A</v>
      </c>
      <c r="DJ15" s="329" t="e">
        <f t="shared" si="11"/>
        <v>#N/A</v>
      </c>
      <c r="DK15" s="329" t="e">
        <f t="shared" si="12"/>
        <v>#N/A</v>
      </c>
      <c r="DR15" s="247" t="str">
        <f t="shared" si="13"/>
        <v>Vertical Extension Bracket Option NA</v>
      </c>
      <c r="DU15" s="330" t="str">
        <f t="shared" si="14"/>
        <v>Other Bottom Rail Colour</v>
      </c>
      <c r="DY15" s="330" t="b">
        <f t="shared" si="15"/>
        <v>0</v>
      </c>
    </row>
    <row r="16" spans="1:129" ht="30" customHeight="1">
      <c r="A16" s="53">
        <v>9</v>
      </c>
      <c r="B16" s="17"/>
      <c r="C16" s="17"/>
      <c r="D16" s="13"/>
      <c r="E16" s="13"/>
      <c r="F16" s="15"/>
      <c r="G16" s="10"/>
      <c r="H16" s="10"/>
      <c r="I16" s="14"/>
      <c r="J16" s="14"/>
      <c r="K16" s="296"/>
      <c r="L16" s="15"/>
      <c r="M16" s="15"/>
      <c r="N16" s="118"/>
      <c r="O16" s="13"/>
      <c r="P16" s="13"/>
      <c r="Q16" s="13"/>
      <c r="R16" s="13"/>
      <c r="S16" s="267" t="str">
        <f t="shared" si="2"/>
        <v/>
      </c>
      <c r="T16" s="186"/>
      <c r="U16" s="236"/>
      <c r="V16" s="237"/>
      <c r="BM16" s="33" t="b">
        <f t="shared" si="3"/>
        <v>0</v>
      </c>
      <c r="BT16" s="33" t="str">
        <f t="shared" si="4"/>
        <v>Chain Colour</v>
      </c>
      <c r="BY16" s="33" t="b">
        <f t="shared" si="5"/>
        <v>0</v>
      </c>
      <c r="BZ16" s="207" t="s">
        <v>1729</v>
      </c>
      <c r="CA16" s="207" t="s">
        <v>1730</v>
      </c>
      <c r="CB16" s="207" t="s">
        <v>1731</v>
      </c>
      <c r="CC16" s="207"/>
      <c r="CD16" s="207" t="s">
        <v>1732</v>
      </c>
      <c r="CE16" s="207" t="s">
        <v>1733</v>
      </c>
      <c r="CF16" s="207"/>
      <c r="CG16" s="207"/>
      <c r="CH16" s="207" t="s">
        <v>1734</v>
      </c>
      <c r="CI16" s="207"/>
      <c r="CJ16" s="207"/>
      <c r="CK16" s="207"/>
      <c r="CL16" s="207" t="s">
        <v>1735</v>
      </c>
      <c r="CM16" s="207"/>
      <c r="CN16" s="247" t="b">
        <f t="shared" si="6"/>
        <v>0</v>
      </c>
      <c r="CQ16" s="247" t="str">
        <f t="shared" si="7"/>
        <v>Fabric Insert Option</v>
      </c>
      <c r="DI16" s="329" t="e">
        <f t="shared" si="10"/>
        <v>#N/A</v>
      </c>
      <c r="DJ16" s="329" t="e">
        <f t="shared" si="11"/>
        <v>#N/A</v>
      </c>
      <c r="DK16" s="329" t="e">
        <f t="shared" si="12"/>
        <v>#N/A</v>
      </c>
      <c r="DR16" s="247" t="str">
        <f t="shared" si="13"/>
        <v>Vertical Extension Bracket Option NA</v>
      </c>
      <c r="DU16" s="330" t="str">
        <f t="shared" si="14"/>
        <v>Other Bottom Rail Colour</v>
      </c>
      <c r="DY16" s="330" t="b">
        <f t="shared" si="15"/>
        <v>0</v>
      </c>
    </row>
    <row r="17" spans="1:129" ht="30" customHeight="1">
      <c r="A17" s="53">
        <v>10</v>
      </c>
      <c r="B17" s="17"/>
      <c r="C17" s="17"/>
      <c r="D17" s="19"/>
      <c r="E17" s="13"/>
      <c r="F17" s="15"/>
      <c r="G17" s="10"/>
      <c r="H17" s="10"/>
      <c r="I17" s="14"/>
      <c r="J17" s="14"/>
      <c r="K17" s="296"/>
      <c r="L17" s="15"/>
      <c r="M17" s="15"/>
      <c r="N17" s="118"/>
      <c r="O17" s="13"/>
      <c r="P17" s="13"/>
      <c r="Q17" s="13"/>
      <c r="R17" s="13"/>
      <c r="S17" s="267" t="str">
        <f t="shared" si="2"/>
        <v/>
      </c>
      <c r="T17" s="186"/>
      <c r="U17" s="236"/>
      <c r="V17" s="237"/>
      <c r="BM17" s="33" t="b">
        <f t="shared" si="3"/>
        <v>0</v>
      </c>
      <c r="BO17" s="33" t="s">
        <v>1619</v>
      </c>
      <c r="BT17" s="33" t="str">
        <f t="shared" si="4"/>
        <v>Chain Colour</v>
      </c>
      <c r="BY17" s="33" t="b">
        <f t="shared" si="5"/>
        <v>0</v>
      </c>
      <c r="BZ17" s="207" t="s">
        <v>1736</v>
      </c>
      <c r="CA17" s="207" t="s">
        <v>1737</v>
      </c>
      <c r="CB17" s="207" t="s">
        <v>1738</v>
      </c>
      <c r="CC17" s="207"/>
      <c r="CD17" s="207" t="s">
        <v>1739</v>
      </c>
      <c r="CE17" s="207" t="s">
        <v>1740</v>
      </c>
      <c r="CF17" s="207"/>
      <c r="CG17" s="207"/>
      <c r="CH17" s="207" t="s">
        <v>1741</v>
      </c>
      <c r="CI17" s="207"/>
      <c r="CJ17" s="207"/>
      <c r="CK17" s="207"/>
      <c r="CL17" s="207" t="s">
        <v>1742</v>
      </c>
      <c r="CM17" s="207"/>
      <c r="CN17" s="247" t="b">
        <f t="shared" si="6"/>
        <v>0</v>
      </c>
      <c r="CQ17" s="247" t="str">
        <f t="shared" si="7"/>
        <v>Fabric Insert Option</v>
      </c>
      <c r="DI17" s="329" t="e">
        <f t="shared" si="10"/>
        <v>#N/A</v>
      </c>
      <c r="DJ17" s="329" t="e">
        <f t="shared" si="11"/>
        <v>#N/A</v>
      </c>
      <c r="DK17" s="329" t="e">
        <f t="shared" si="12"/>
        <v>#N/A</v>
      </c>
      <c r="DR17" s="247" t="str">
        <f t="shared" si="13"/>
        <v>Vertical Extension Bracket Option NA</v>
      </c>
      <c r="DU17" s="330" t="str">
        <f t="shared" si="14"/>
        <v>Other Bottom Rail Colour</v>
      </c>
      <c r="DY17" s="330" t="b">
        <f t="shared" si="15"/>
        <v>0</v>
      </c>
    </row>
    <row r="18" spans="1:129" ht="30" customHeight="1">
      <c r="A18" s="53">
        <v>11</v>
      </c>
      <c r="B18" s="17"/>
      <c r="C18" s="17"/>
      <c r="D18" s="13"/>
      <c r="E18" s="13"/>
      <c r="F18" s="15"/>
      <c r="G18" s="10"/>
      <c r="H18" s="10"/>
      <c r="I18" s="14"/>
      <c r="J18" s="14"/>
      <c r="K18" s="296"/>
      <c r="L18" s="15"/>
      <c r="M18" s="15"/>
      <c r="N18" s="118"/>
      <c r="O18" s="13"/>
      <c r="P18" s="13"/>
      <c r="Q18" s="13"/>
      <c r="R18" s="13"/>
      <c r="S18" s="267" t="str">
        <f t="shared" si="2"/>
        <v/>
      </c>
      <c r="T18" s="186"/>
      <c r="U18" s="236"/>
      <c r="V18" s="237"/>
      <c r="BM18" s="33" t="b">
        <f t="shared" si="3"/>
        <v>0</v>
      </c>
      <c r="BO18" s="33" t="s">
        <v>383</v>
      </c>
      <c r="BT18" s="33" t="str">
        <f t="shared" si="4"/>
        <v>Chain Colour</v>
      </c>
      <c r="BY18" s="33" t="b">
        <f t="shared" si="5"/>
        <v>0</v>
      </c>
      <c r="BZ18" s="207" t="s">
        <v>1743</v>
      </c>
      <c r="CA18" s="207" t="s">
        <v>1744</v>
      </c>
      <c r="CB18" s="207" t="s">
        <v>1745</v>
      </c>
      <c r="CC18" s="207"/>
      <c r="CD18" s="207" t="s">
        <v>1746</v>
      </c>
      <c r="CE18" s="207" t="s">
        <v>1747</v>
      </c>
      <c r="CF18" s="207"/>
      <c r="CG18" s="207"/>
      <c r="CH18" s="207" t="s">
        <v>1748</v>
      </c>
      <c r="CI18" s="207"/>
      <c r="CJ18" s="207"/>
      <c r="CK18" s="207"/>
      <c r="CL18" s="207" t="s">
        <v>1749</v>
      </c>
      <c r="CM18" s="207"/>
      <c r="CN18" s="247" t="b">
        <f t="shared" si="6"/>
        <v>0</v>
      </c>
      <c r="CQ18" s="247" t="str">
        <f t="shared" si="7"/>
        <v>Fabric Insert Option</v>
      </c>
      <c r="DI18" s="329" t="e">
        <f t="shared" si="10"/>
        <v>#N/A</v>
      </c>
      <c r="DJ18" s="329" t="e">
        <f t="shared" si="11"/>
        <v>#N/A</v>
      </c>
      <c r="DK18" s="329" t="e">
        <f t="shared" si="12"/>
        <v>#N/A</v>
      </c>
      <c r="DR18" s="247" t="str">
        <f t="shared" si="13"/>
        <v>Vertical Extension Bracket Option NA</v>
      </c>
      <c r="DU18" s="330" t="str">
        <f t="shared" si="14"/>
        <v>Other Bottom Rail Colour</v>
      </c>
      <c r="DY18" s="330" t="b">
        <f t="shared" si="15"/>
        <v>0</v>
      </c>
    </row>
    <row r="19" spans="1:129" ht="30" customHeight="1">
      <c r="A19" s="53">
        <v>12</v>
      </c>
      <c r="B19" s="17"/>
      <c r="C19" s="17"/>
      <c r="D19" s="13"/>
      <c r="E19" s="13"/>
      <c r="F19" s="15"/>
      <c r="G19" s="10"/>
      <c r="H19" s="10"/>
      <c r="I19" s="14"/>
      <c r="J19" s="14"/>
      <c r="K19" s="296"/>
      <c r="L19" s="15"/>
      <c r="M19" s="15"/>
      <c r="N19" s="118"/>
      <c r="O19" s="13"/>
      <c r="P19" s="13"/>
      <c r="Q19" s="13"/>
      <c r="R19" s="13"/>
      <c r="S19" s="267" t="str">
        <f t="shared" si="2"/>
        <v/>
      </c>
      <c r="T19" s="186"/>
      <c r="U19" s="236"/>
      <c r="V19" s="237"/>
      <c r="BM19" s="33" t="b">
        <f t="shared" si="3"/>
        <v>0</v>
      </c>
      <c r="BO19" s="33" t="s">
        <v>1651</v>
      </c>
      <c r="BT19" s="33" t="str">
        <f t="shared" si="4"/>
        <v>Chain Colour</v>
      </c>
      <c r="BY19" s="33" t="b">
        <f t="shared" si="5"/>
        <v>0</v>
      </c>
      <c r="BZ19" s="207" t="s">
        <v>1750</v>
      </c>
      <c r="CA19" s="207" t="s">
        <v>1751</v>
      </c>
      <c r="CB19" s="207" t="s">
        <v>1752</v>
      </c>
      <c r="CC19" s="207"/>
      <c r="CD19" s="207" t="s">
        <v>1753</v>
      </c>
      <c r="CE19" s="207" t="s">
        <v>1754</v>
      </c>
      <c r="CF19" s="207"/>
      <c r="CG19" s="207"/>
      <c r="CH19" s="207"/>
      <c r="CI19" s="207"/>
      <c r="CJ19" s="207"/>
      <c r="CK19" s="207"/>
      <c r="CL19" s="207" t="s">
        <v>1755</v>
      </c>
      <c r="CM19" s="207"/>
      <c r="CN19" s="247" t="b">
        <f t="shared" si="6"/>
        <v>0</v>
      </c>
      <c r="CQ19" s="247" t="str">
        <f t="shared" si="7"/>
        <v>Fabric Insert Option</v>
      </c>
      <c r="DI19" s="329" t="e">
        <f t="shared" si="10"/>
        <v>#N/A</v>
      </c>
      <c r="DJ19" s="329" t="e">
        <f t="shared" si="11"/>
        <v>#N/A</v>
      </c>
      <c r="DK19" s="329" t="e">
        <f t="shared" si="12"/>
        <v>#N/A</v>
      </c>
      <c r="DR19" s="247" t="str">
        <f t="shared" si="13"/>
        <v>Vertical Extension Bracket Option NA</v>
      </c>
      <c r="DU19" s="330" t="str">
        <f t="shared" si="14"/>
        <v>Other Bottom Rail Colour</v>
      </c>
      <c r="DY19" s="330" t="b">
        <f t="shared" si="15"/>
        <v>0</v>
      </c>
    </row>
    <row r="20" spans="1:129" ht="30" customHeight="1">
      <c r="A20" s="53">
        <v>13</v>
      </c>
      <c r="B20" s="17"/>
      <c r="C20" s="17"/>
      <c r="D20" s="13"/>
      <c r="E20" s="13"/>
      <c r="F20" s="15"/>
      <c r="G20" s="10"/>
      <c r="H20" s="10"/>
      <c r="I20" s="14"/>
      <c r="J20" s="14"/>
      <c r="K20" s="296"/>
      <c r="L20" s="15"/>
      <c r="M20" s="15"/>
      <c r="N20" s="118"/>
      <c r="O20" s="13"/>
      <c r="P20" s="13"/>
      <c r="Q20" s="13"/>
      <c r="R20" s="13"/>
      <c r="S20" s="267" t="str">
        <f t="shared" si="2"/>
        <v/>
      </c>
      <c r="T20" s="186"/>
      <c r="U20" s="236"/>
      <c r="V20" s="237"/>
      <c r="BM20" s="33" t="b">
        <f t="shared" si="3"/>
        <v>0</v>
      </c>
      <c r="BO20" s="33" t="s">
        <v>1099</v>
      </c>
      <c r="BT20" s="33" t="str">
        <f t="shared" si="4"/>
        <v>Chain Colour</v>
      </c>
      <c r="BY20" s="33" t="b">
        <f t="shared" si="5"/>
        <v>0</v>
      </c>
      <c r="BZ20" s="207" t="s">
        <v>1756</v>
      </c>
      <c r="CA20" s="207"/>
      <c r="CB20" s="207" t="s">
        <v>1757</v>
      </c>
      <c r="CC20" s="207"/>
      <c r="CD20" s="207" t="s">
        <v>1758</v>
      </c>
      <c r="CE20" s="207" t="s">
        <v>1759</v>
      </c>
      <c r="CF20" s="207"/>
      <c r="CG20" s="207"/>
      <c r="CH20" s="207"/>
      <c r="CI20" s="207"/>
      <c r="CJ20" s="207"/>
      <c r="CK20" s="207"/>
      <c r="CL20" s="207" t="s">
        <v>1760</v>
      </c>
      <c r="CM20" s="207"/>
      <c r="CN20" s="247" t="b">
        <f t="shared" si="6"/>
        <v>0</v>
      </c>
      <c r="CQ20" s="247" t="str">
        <f t="shared" si="7"/>
        <v>Fabric Insert Option</v>
      </c>
      <c r="DI20" s="329" t="e">
        <f t="shared" si="10"/>
        <v>#N/A</v>
      </c>
      <c r="DJ20" s="329" t="e">
        <f t="shared" si="11"/>
        <v>#N/A</v>
      </c>
      <c r="DK20" s="329" t="e">
        <f t="shared" si="12"/>
        <v>#N/A</v>
      </c>
      <c r="DR20" s="247" t="str">
        <f t="shared" si="13"/>
        <v>Vertical Extension Bracket Option NA</v>
      </c>
      <c r="DU20" s="330" t="str">
        <f t="shared" si="14"/>
        <v>Other Bottom Rail Colour</v>
      </c>
      <c r="DY20" s="330" t="b">
        <f t="shared" si="15"/>
        <v>0</v>
      </c>
    </row>
    <row r="21" spans="1:129" ht="30" customHeight="1">
      <c r="A21" s="53">
        <v>14</v>
      </c>
      <c r="B21" s="17"/>
      <c r="C21" s="17"/>
      <c r="D21" s="13"/>
      <c r="E21" s="13"/>
      <c r="F21" s="15"/>
      <c r="G21" s="10"/>
      <c r="H21" s="10"/>
      <c r="I21" s="14"/>
      <c r="J21" s="14"/>
      <c r="K21" s="296"/>
      <c r="L21" s="15"/>
      <c r="M21" s="15"/>
      <c r="N21" s="118"/>
      <c r="O21" s="13"/>
      <c r="P21" s="13"/>
      <c r="Q21" s="13"/>
      <c r="R21" s="13"/>
      <c r="S21" s="267" t="str">
        <f t="shared" si="2"/>
        <v/>
      </c>
      <c r="T21" s="186"/>
      <c r="U21" s="236"/>
      <c r="V21" s="237"/>
      <c r="BM21" s="33" t="b">
        <f t="shared" si="3"/>
        <v>0</v>
      </c>
      <c r="BO21" s="33" t="s">
        <v>1695</v>
      </c>
      <c r="BT21" s="33" t="str">
        <f t="shared" si="4"/>
        <v>Chain Colour</v>
      </c>
      <c r="BY21" s="33" t="b">
        <f t="shared" si="5"/>
        <v>0</v>
      </c>
      <c r="BZ21" s="207" t="s">
        <v>1761</v>
      </c>
      <c r="CA21" s="207"/>
      <c r="CB21" s="207" t="s">
        <v>1762</v>
      </c>
      <c r="CC21" s="207"/>
      <c r="CD21" s="207"/>
      <c r="CE21" s="207"/>
      <c r="CF21" s="207"/>
      <c r="CG21" s="207"/>
      <c r="CH21" s="207"/>
      <c r="CI21" s="207"/>
      <c r="CJ21" s="207"/>
      <c r="CK21" s="207"/>
      <c r="CL21" s="207"/>
      <c r="CM21" s="207"/>
      <c r="CN21" s="247" t="b">
        <f t="shared" si="6"/>
        <v>0</v>
      </c>
      <c r="CQ21" s="247" t="str">
        <f t="shared" si="7"/>
        <v>Fabric Insert Option</v>
      </c>
      <c r="DI21" s="329" t="e">
        <f t="shared" si="10"/>
        <v>#N/A</v>
      </c>
      <c r="DJ21" s="329" t="e">
        <f t="shared" si="11"/>
        <v>#N/A</v>
      </c>
      <c r="DK21" s="329" t="e">
        <f t="shared" si="12"/>
        <v>#N/A</v>
      </c>
      <c r="DR21" s="247" t="str">
        <f t="shared" si="13"/>
        <v>Vertical Extension Bracket Option NA</v>
      </c>
      <c r="DU21" s="330" t="str">
        <f t="shared" si="14"/>
        <v>Other Bottom Rail Colour</v>
      </c>
      <c r="DY21" s="330" t="b">
        <f t="shared" si="15"/>
        <v>0</v>
      </c>
    </row>
    <row r="22" spans="1:129" ht="30" customHeight="1">
      <c r="A22" s="53">
        <v>15</v>
      </c>
      <c r="B22" s="17"/>
      <c r="C22" s="17"/>
      <c r="D22" s="13"/>
      <c r="E22" s="13"/>
      <c r="F22" s="15"/>
      <c r="G22" s="10"/>
      <c r="H22" s="10"/>
      <c r="I22" s="14"/>
      <c r="J22" s="14"/>
      <c r="K22" s="296"/>
      <c r="L22" s="15"/>
      <c r="M22" s="15"/>
      <c r="N22" s="118"/>
      <c r="O22" s="13"/>
      <c r="P22" s="13"/>
      <c r="Q22" s="13"/>
      <c r="R22" s="13"/>
      <c r="S22" s="267" t="str">
        <f t="shared" si="2"/>
        <v/>
      </c>
      <c r="T22" s="186"/>
      <c r="U22" s="236"/>
      <c r="V22" s="237"/>
      <c r="BM22" s="33" t="b">
        <f t="shared" si="3"/>
        <v>0</v>
      </c>
      <c r="BO22" s="33" t="s">
        <v>1709</v>
      </c>
      <c r="BT22" s="33" t="str">
        <f t="shared" si="4"/>
        <v>Chain Colour</v>
      </c>
      <c r="BY22" s="33" t="b">
        <f t="shared" si="5"/>
        <v>0</v>
      </c>
      <c r="BZ22" s="207" t="s">
        <v>1763</v>
      </c>
      <c r="CA22" s="207"/>
      <c r="CB22" s="207"/>
      <c r="CC22" s="207"/>
      <c r="CD22" s="207"/>
      <c r="CE22" s="207"/>
      <c r="CF22" s="207"/>
      <c r="CG22" s="207"/>
      <c r="CH22" s="207"/>
      <c r="CI22" s="207"/>
      <c r="CJ22" s="207"/>
      <c r="CK22" s="207"/>
      <c r="CL22" s="207"/>
      <c r="CM22" s="207"/>
      <c r="CN22" s="247" t="b">
        <f t="shared" si="6"/>
        <v>0</v>
      </c>
      <c r="CQ22" s="247" t="str">
        <f t="shared" si="7"/>
        <v>Fabric Insert Option</v>
      </c>
      <c r="DI22" s="329" t="e">
        <f t="shared" si="10"/>
        <v>#N/A</v>
      </c>
      <c r="DJ22" s="329" t="e">
        <f t="shared" si="11"/>
        <v>#N/A</v>
      </c>
      <c r="DK22" s="329" t="e">
        <f t="shared" si="12"/>
        <v>#N/A</v>
      </c>
      <c r="DR22" s="247" t="str">
        <f t="shared" si="13"/>
        <v>Vertical Extension Bracket Option NA</v>
      </c>
      <c r="DU22" s="330" t="str">
        <f t="shared" si="14"/>
        <v>Other Bottom Rail Colour</v>
      </c>
      <c r="DY22" s="330" t="b">
        <f t="shared" si="15"/>
        <v>0</v>
      </c>
    </row>
    <row r="23" spans="1:129" ht="30" customHeight="1">
      <c r="A23" s="53">
        <v>16</v>
      </c>
      <c r="B23" s="17"/>
      <c r="C23" s="17"/>
      <c r="D23" s="13"/>
      <c r="E23" s="13"/>
      <c r="F23" s="15"/>
      <c r="G23" s="10"/>
      <c r="H23" s="10"/>
      <c r="I23" s="14"/>
      <c r="J23" s="14"/>
      <c r="K23" s="296"/>
      <c r="L23" s="15"/>
      <c r="M23" s="15"/>
      <c r="N23" s="118"/>
      <c r="O23" s="13"/>
      <c r="P23" s="13"/>
      <c r="Q23" s="13"/>
      <c r="R23" s="13"/>
      <c r="S23" s="267" t="str">
        <f t="shared" si="2"/>
        <v/>
      </c>
      <c r="T23" s="186"/>
      <c r="U23" s="236"/>
      <c r="V23" s="237"/>
      <c r="BM23" s="33" t="b">
        <f t="shared" si="3"/>
        <v>0</v>
      </c>
      <c r="BO23" s="33" t="s">
        <v>328</v>
      </c>
      <c r="BT23" s="33" t="str">
        <f t="shared" si="4"/>
        <v>Chain Colour</v>
      </c>
      <c r="BY23" s="33" t="b">
        <f t="shared" si="5"/>
        <v>0</v>
      </c>
      <c r="BZ23" s="207" t="s">
        <v>1764</v>
      </c>
      <c r="CA23" s="207"/>
      <c r="CB23" s="207"/>
      <c r="CC23" s="207"/>
      <c r="CD23" s="207"/>
      <c r="CE23" s="207"/>
      <c r="CF23" s="207"/>
      <c r="CG23" s="207"/>
      <c r="CH23" s="207"/>
      <c r="CI23" s="207"/>
      <c r="CJ23" s="207"/>
      <c r="CK23" s="207"/>
      <c r="CL23" s="207"/>
      <c r="CM23" s="207"/>
      <c r="CN23" s="247" t="b">
        <f t="shared" si="6"/>
        <v>0</v>
      </c>
      <c r="CQ23" s="247" t="str">
        <f t="shared" si="7"/>
        <v>Fabric Insert Option</v>
      </c>
      <c r="DI23" s="329" t="e">
        <f t="shared" si="10"/>
        <v>#N/A</v>
      </c>
      <c r="DJ23" s="329" t="e">
        <f t="shared" si="11"/>
        <v>#N/A</v>
      </c>
      <c r="DK23" s="329" t="e">
        <f t="shared" si="12"/>
        <v>#N/A</v>
      </c>
      <c r="DR23" s="247" t="str">
        <f t="shared" si="13"/>
        <v>Vertical Extension Bracket Option NA</v>
      </c>
      <c r="DU23" s="330" t="str">
        <f t="shared" si="14"/>
        <v>Other Bottom Rail Colour</v>
      </c>
      <c r="DY23" s="330" t="b">
        <f t="shared" si="15"/>
        <v>0</v>
      </c>
    </row>
    <row r="24" spans="1:129" ht="30" customHeight="1">
      <c r="A24" s="53">
        <v>17</v>
      </c>
      <c r="B24" s="17"/>
      <c r="C24" s="17"/>
      <c r="D24" s="19"/>
      <c r="E24" s="13"/>
      <c r="F24" s="15"/>
      <c r="G24" s="10"/>
      <c r="H24" s="10"/>
      <c r="I24" s="14"/>
      <c r="J24" s="14"/>
      <c r="K24" s="296"/>
      <c r="L24" s="15"/>
      <c r="M24" s="15"/>
      <c r="N24" s="118"/>
      <c r="O24" s="13"/>
      <c r="P24" s="13"/>
      <c r="Q24" s="13"/>
      <c r="R24" s="13"/>
      <c r="S24" s="267" t="str">
        <f t="shared" si="2"/>
        <v/>
      </c>
      <c r="T24" s="186"/>
      <c r="U24" s="236"/>
      <c r="V24" s="237"/>
      <c r="BM24" s="33" t="b">
        <f t="shared" si="3"/>
        <v>0</v>
      </c>
      <c r="BO24" s="33" t="s">
        <v>332</v>
      </c>
      <c r="BT24" s="33" t="str">
        <f t="shared" si="4"/>
        <v>Chain Colour</v>
      </c>
      <c r="BY24" s="33" t="b">
        <f t="shared" si="5"/>
        <v>0</v>
      </c>
      <c r="BZ24" s="207" t="s">
        <v>1765</v>
      </c>
      <c r="CA24" s="207"/>
      <c r="CB24" s="207"/>
      <c r="CC24" s="207"/>
      <c r="CD24" s="207"/>
      <c r="CE24" s="207"/>
      <c r="CF24" s="207"/>
      <c r="CG24" s="207"/>
      <c r="CH24" s="207"/>
      <c r="CI24" s="207"/>
      <c r="CJ24" s="207"/>
      <c r="CK24" s="207"/>
      <c r="CL24" s="207"/>
      <c r="CM24" s="207"/>
      <c r="CN24" s="247" t="b">
        <f t="shared" si="6"/>
        <v>0</v>
      </c>
      <c r="CQ24" s="247" t="str">
        <f t="shared" si="7"/>
        <v>Fabric Insert Option</v>
      </c>
      <c r="DI24" s="329" t="e">
        <f t="shared" si="10"/>
        <v>#N/A</v>
      </c>
      <c r="DJ24" s="329" t="e">
        <f t="shared" si="11"/>
        <v>#N/A</v>
      </c>
      <c r="DK24" s="329" t="e">
        <f t="shared" si="12"/>
        <v>#N/A</v>
      </c>
      <c r="DR24" s="247" t="str">
        <f t="shared" si="13"/>
        <v>Vertical Extension Bracket Option NA</v>
      </c>
      <c r="DU24" s="330" t="str">
        <f t="shared" si="14"/>
        <v>Other Bottom Rail Colour</v>
      </c>
      <c r="DY24" s="330" t="b">
        <f t="shared" si="15"/>
        <v>0</v>
      </c>
    </row>
    <row r="25" spans="1:129" ht="30" customHeight="1">
      <c r="A25" s="53">
        <v>18</v>
      </c>
      <c r="B25" s="17"/>
      <c r="C25" s="17"/>
      <c r="D25" s="19"/>
      <c r="E25" s="13"/>
      <c r="F25" s="15"/>
      <c r="G25" s="10"/>
      <c r="H25" s="10"/>
      <c r="I25" s="14"/>
      <c r="J25" s="14"/>
      <c r="K25" s="296"/>
      <c r="L25" s="15"/>
      <c r="M25" s="15"/>
      <c r="N25" s="118"/>
      <c r="O25" s="13"/>
      <c r="P25" s="13"/>
      <c r="Q25" s="13"/>
      <c r="R25" s="13"/>
      <c r="S25" s="267" t="str">
        <f t="shared" si="2"/>
        <v/>
      </c>
      <c r="T25" s="186"/>
      <c r="U25" s="236"/>
      <c r="V25" s="237"/>
      <c r="BM25" s="33" t="b">
        <f t="shared" si="3"/>
        <v>0</v>
      </c>
      <c r="BT25" s="33" t="str">
        <f t="shared" si="4"/>
        <v>Chain Colour</v>
      </c>
      <c r="BY25" s="33" t="b">
        <f t="shared" si="5"/>
        <v>0</v>
      </c>
      <c r="BZ25" s="207" t="s">
        <v>1766</v>
      </c>
      <c r="CA25" s="207"/>
      <c r="CB25" s="207"/>
      <c r="CC25" s="207"/>
      <c r="CD25" s="207"/>
      <c r="CE25" s="207"/>
      <c r="CF25" s="207"/>
      <c r="CG25" s="207"/>
      <c r="CH25" s="207"/>
      <c r="CI25" s="207"/>
      <c r="CJ25" s="207"/>
      <c r="CK25" s="207"/>
      <c r="CL25" s="207"/>
      <c r="CM25" s="207"/>
      <c r="CN25" s="247" t="b">
        <f t="shared" si="6"/>
        <v>0</v>
      </c>
      <c r="CQ25" s="247" t="str">
        <f t="shared" si="7"/>
        <v>Fabric Insert Option</v>
      </c>
      <c r="DI25" s="329" t="e">
        <f t="shared" si="10"/>
        <v>#N/A</v>
      </c>
      <c r="DJ25" s="329" t="e">
        <f t="shared" si="11"/>
        <v>#N/A</v>
      </c>
      <c r="DK25" s="329" t="e">
        <f t="shared" si="12"/>
        <v>#N/A</v>
      </c>
      <c r="DR25" s="247" t="str">
        <f t="shared" si="13"/>
        <v>Vertical Extension Bracket Option NA</v>
      </c>
      <c r="DU25" s="330" t="str">
        <f t="shared" si="14"/>
        <v>Other Bottom Rail Colour</v>
      </c>
      <c r="DY25" s="330" t="b">
        <f t="shared" si="15"/>
        <v>0</v>
      </c>
    </row>
    <row r="26" spans="1:129" ht="30" customHeight="1">
      <c r="A26" s="53">
        <v>19</v>
      </c>
      <c r="B26" s="17"/>
      <c r="C26" s="17"/>
      <c r="D26" s="19"/>
      <c r="E26" s="13"/>
      <c r="F26" s="15"/>
      <c r="G26" s="10"/>
      <c r="H26" s="10"/>
      <c r="I26" s="14"/>
      <c r="J26" s="14"/>
      <c r="K26" s="296"/>
      <c r="L26" s="15"/>
      <c r="M26" s="15"/>
      <c r="N26" s="118"/>
      <c r="O26" s="13"/>
      <c r="P26" s="13"/>
      <c r="Q26" s="13"/>
      <c r="R26" s="13"/>
      <c r="S26" s="267" t="str">
        <f t="shared" si="2"/>
        <v/>
      </c>
      <c r="T26" s="186"/>
      <c r="U26" s="236"/>
      <c r="V26" s="237"/>
      <c r="BM26" s="33" t="b">
        <f t="shared" si="3"/>
        <v>0</v>
      </c>
      <c r="BT26" s="33" t="str">
        <f t="shared" si="4"/>
        <v>Chain Colour</v>
      </c>
      <c r="BY26" s="33" t="b">
        <f t="shared" si="5"/>
        <v>0</v>
      </c>
      <c r="BZ26" s="207" t="s">
        <v>1767</v>
      </c>
      <c r="CA26" s="207"/>
      <c r="CB26" s="207"/>
      <c r="CC26" s="207"/>
      <c r="CD26" s="207"/>
      <c r="CE26" s="207"/>
      <c r="CF26" s="207"/>
      <c r="CG26" s="207"/>
      <c r="CH26" s="207"/>
      <c r="CI26" s="207"/>
      <c r="CJ26" s="207"/>
      <c r="CK26" s="207"/>
      <c r="CL26" s="207"/>
      <c r="CM26" s="207"/>
      <c r="CN26" s="247" t="b">
        <f t="shared" si="6"/>
        <v>0</v>
      </c>
      <c r="CQ26" s="247" t="str">
        <f t="shared" si="7"/>
        <v>Fabric Insert Option</v>
      </c>
      <c r="DI26" s="329" t="e">
        <f t="shared" si="10"/>
        <v>#N/A</v>
      </c>
      <c r="DJ26" s="329" t="e">
        <f t="shared" si="11"/>
        <v>#N/A</v>
      </c>
      <c r="DK26" s="329" t="e">
        <f t="shared" si="12"/>
        <v>#N/A</v>
      </c>
      <c r="DR26" s="247" t="str">
        <f t="shared" si="13"/>
        <v>Vertical Extension Bracket Option NA</v>
      </c>
      <c r="DU26" s="330" t="str">
        <f t="shared" si="14"/>
        <v>Other Bottom Rail Colour</v>
      </c>
      <c r="DY26" s="330" t="b">
        <f t="shared" si="15"/>
        <v>0</v>
      </c>
    </row>
    <row r="27" spans="1:129" ht="30" customHeight="1">
      <c r="A27" s="53">
        <v>20</v>
      </c>
      <c r="B27" s="13"/>
      <c r="C27" s="13"/>
      <c r="D27" s="13"/>
      <c r="E27" s="13"/>
      <c r="F27" s="15"/>
      <c r="G27" s="10"/>
      <c r="H27" s="10"/>
      <c r="I27" s="14"/>
      <c r="J27" s="14"/>
      <c r="K27" s="296"/>
      <c r="L27" s="15"/>
      <c r="M27" s="15"/>
      <c r="N27" s="118"/>
      <c r="O27" s="13"/>
      <c r="P27" s="13"/>
      <c r="Q27" s="13"/>
      <c r="R27" s="13"/>
      <c r="S27" s="267" t="str">
        <f t="shared" si="2"/>
        <v/>
      </c>
      <c r="T27" s="186"/>
      <c r="U27" s="236"/>
      <c r="V27" s="237"/>
      <c r="BM27" s="33" t="b">
        <f t="shared" si="3"/>
        <v>0</v>
      </c>
      <c r="BT27" s="33" t="str">
        <f t="shared" si="4"/>
        <v>Chain Colour</v>
      </c>
      <c r="BY27" s="33" t="b">
        <f t="shared" si="5"/>
        <v>0</v>
      </c>
      <c r="BZ27" s="207" t="s">
        <v>1768</v>
      </c>
      <c r="CA27" s="207"/>
      <c r="CB27" s="207"/>
      <c r="CC27" s="207"/>
      <c r="CD27" s="207"/>
      <c r="CE27" s="207"/>
      <c r="CF27" s="207"/>
      <c r="CG27" s="207"/>
      <c r="CH27" s="207"/>
      <c r="CI27" s="207"/>
      <c r="CJ27" s="207"/>
      <c r="CK27" s="207"/>
      <c r="CL27" s="207"/>
      <c r="CM27" s="207"/>
      <c r="CN27" s="247" t="b">
        <f t="shared" si="6"/>
        <v>0</v>
      </c>
      <c r="CQ27" s="247" t="str">
        <f t="shared" si="7"/>
        <v>Fabric Insert Option</v>
      </c>
      <c r="DI27" s="329" t="e">
        <f t="shared" si="10"/>
        <v>#N/A</v>
      </c>
      <c r="DJ27" s="329" t="e">
        <f t="shared" si="11"/>
        <v>#N/A</v>
      </c>
      <c r="DK27" s="329" t="e">
        <f t="shared" si="12"/>
        <v>#N/A</v>
      </c>
      <c r="DR27" s="247" t="str">
        <f t="shared" si="13"/>
        <v>Vertical Extension Bracket Option NA</v>
      </c>
      <c r="DU27" s="330" t="str">
        <f t="shared" si="14"/>
        <v>Other Bottom Rail Colour</v>
      </c>
      <c r="DY27" s="330" t="b">
        <f t="shared" si="15"/>
        <v>0</v>
      </c>
    </row>
    <row r="28" spans="1:129" ht="30" customHeight="1">
      <c r="A28" s="53">
        <v>21</v>
      </c>
      <c r="B28" s="13"/>
      <c r="C28" s="13"/>
      <c r="D28" s="19"/>
      <c r="E28" s="13"/>
      <c r="F28" s="15"/>
      <c r="G28" s="10"/>
      <c r="H28" s="10"/>
      <c r="I28" s="14"/>
      <c r="J28" s="14"/>
      <c r="K28" s="296"/>
      <c r="L28" s="15"/>
      <c r="M28" s="15"/>
      <c r="N28" s="118"/>
      <c r="O28" s="13"/>
      <c r="P28" s="13"/>
      <c r="Q28" s="13"/>
      <c r="R28" s="13"/>
      <c r="S28" s="267" t="str">
        <f t="shared" si="2"/>
        <v/>
      </c>
      <c r="T28" s="186"/>
      <c r="U28" s="236"/>
      <c r="V28" s="237"/>
      <c r="BM28" s="33" t="b">
        <f t="shared" si="3"/>
        <v>0</v>
      </c>
      <c r="BT28" s="33" t="str">
        <f t="shared" si="4"/>
        <v>Chain Colour</v>
      </c>
      <c r="BY28" s="33" t="b">
        <f t="shared" si="5"/>
        <v>0</v>
      </c>
      <c r="BZ28" s="207" t="s">
        <v>1769</v>
      </c>
      <c r="CA28" s="207"/>
      <c r="CB28" s="207"/>
      <c r="CC28" s="207"/>
      <c r="CD28" s="207"/>
      <c r="CE28" s="207"/>
      <c r="CF28" s="207"/>
      <c r="CG28" s="207"/>
      <c r="CH28" s="207"/>
      <c r="CI28" s="207"/>
      <c r="CJ28" s="207"/>
      <c r="CK28" s="207"/>
      <c r="CL28" s="207"/>
      <c r="CM28" s="207"/>
      <c r="CN28" s="247" t="b">
        <f t="shared" si="6"/>
        <v>0</v>
      </c>
      <c r="CQ28" s="247" t="str">
        <f t="shared" si="7"/>
        <v>Fabric Insert Option</v>
      </c>
      <c r="DI28" s="329" t="e">
        <f t="shared" si="10"/>
        <v>#N/A</v>
      </c>
      <c r="DJ28" s="329" t="e">
        <f t="shared" si="11"/>
        <v>#N/A</v>
      </c>
      <c r="DK28" s="329" t="e">
        <f t="shared" si="12"/>
        <v>#N/A</v>
      </c>
      <c r="DR28" s="247" t="str">
        <f t="shared" si="13"/>
        <v>Vertical Extension Bracket Option NA</v>
      </c>
      <c r="DU28" s="330" t="str">
        <f t="shared" si="14"/>
        <v>Other Bottom Rail Colour</v>
      </c>
      <c r="DY28" s="330" t="b">
        <f t="shared" si="15"/>
        <v>0</v>
      </c>
    </row>
    <row r="29" spans="1:129" ht="30" customHeight="1">
      <c r="A29" s="53">
        <v>22</v>
      </c>
      <c r="B29" s="13"/>
      <c r="C29" s="13"/>
      <c r="D29" s="19"/>
      <c r="E29" s="13"/>
      <c r="F29" s="15"/>
      <c r="G29" s="10"/>
      <c r="H29" s="10"/>
      <c r="I29" s="14"/>
      <c r="J29" s="14"/>
      <c r="K29" s="296"/>
      <c r="L29" s="15"/>
      <c r="M29" s="15"/>
      <c r="N29" s="118"/>
      <c r="O29" s="13"/>
      <c r="P29" s="13"/>
      <c r="Q29" s="13"/>
      <c r="R29" s="13"/>
      <c r="S29" s="267" t="str">
        <f t="shared" si="2"/>
        <v/>
      </c>
      <c r="T29" s="186"/>
      <c r="U29" s="236"/>
      <c r="V29" s="237"/>
      <c r="BM29" s="33" t="b">
        <f t="shared" si="3"/>
        <v>0</v>
      </c>
      <c r="BT29" s="33" t="str">
        <f t="shared" si="4"/>
        <v>Chain Colour</v>
      </c>
      <c r="BY29" s="33" t="b">
        <f t="shared" si="5"/>
        <v>0</v>
      </c>
      <c r="BZ29" s="207" t="s">
        <v>1770</v>
      </c>
      <c r="CA29" s="207"/>
      <c r="CB29" s="207"/>
      <c r="CC29" s="207"/>
      <c r="CD29" s="207"/>
      <c r="CE29" s="207"/>
      <c r="CF29" s="207"/>
      <c r="CG29" s="207"/>
      <c r="CH29" s="207"/>
      <c r="CI29" s="207"/>
      <c r="CJ29" s="207"/>
      <c r="CK29" s="207"/>
      <c r="CL29" s="207"/>
      <c r="CM29" s="207"/>
      <c r="CN29" s="247" t="b">
        <f t="shared" si="6"/>
        <v>0</v>
      </c>
      <c r="CQ29" s="247" t="str">
        <f t="shared" si="7"/>
        <v>Fabric Insert Option</v>
      </c>
      <c r="DI29" s="329" t="e">
        <f t="shared" si="10"/>
        <v>#N/A</v>
      </c>
      <c r="DJ29" s="329" t="e">
        <f t="shared" si="11"/>
        <v>#N/A</v>
      </c>
      <c r="DK29" s="329" t="e">
        <f t="shared" si="12"/>
        <v>#N/A</v>
      </c>
      <c r="DR29" s="247" t="str">
        <f t="shared" si="13"/>
        <v>Vertical Extension Bracket Option NA</v>
      </c>
      <c r="DU29" s="330" t="str">
        <f t="shared" si="14"/>
        <v>Other Bottom Rail Colour</v>
      </c>
      <c r="DY29" s="330" t="b">
        <f t="shared" si="15"/>
        <v>0</v>
      </c>
    </row>
    <row r="30" spans="1:129" ht="30" customHeight="1">
      <c r="A30" s="53">
        <v>23</v>
      </c>
      <c r="B30" s="13"/>
      <c r="C30" s="13"/>
      <c r="D30" s="13"/>
      <c r="E30" s="13"/>
      <c r="F30" s="15"/>
      <c r="G30" s="10"/>
      <c r="H30" s="10"/>
      <c r="I30" s="14"/>
      <c r="J30" s="14"/>
      <c r="K30" s="296"/>
      <c r="L30" s="15"/>
      <c r="M30" s="15"/>
      <c r="N30" s="118"/>
      <c r="O30" s="13"/>
      <c r="P30" s="13"/>
      <c r="Q30" s="13"/>
      <c r="R30" s="13"/>
      <c r="S30" s="267" t="str">
        <f t="shared" si="2"/>
        <v/>
      </c>
      <c r="T30" s="186"/>
      <c r="U30" s="236"/>
      <c r="V30" s="237"/>
      <c r="BM30" s="33" t="b">
        <f t="shared" si="3"/>
        <v>0</v>
      </c>
      <c r="BT30" s="33" t="str">
        <f t="shared" si="4"/>
        <v>Chain Colour</v>
      </c>
      <c r="BY30" s="33" t="b">
        <f t="shared" si="5"/>
        <v>0</v>
      </c>
      <c r="BZ30" s="207" t="s">
        <v>1771</v>
      </c>
      <c r="CA30" s="207"/>
      <c r="CB30" s="207"/>
      <c r="CC30" s="207"/>
      <c r="CD30" s="207"/>
      <c r="CE30" s="207"/>
      <c r="CF30" s="207"/>
      <c r="CG30" s="207"/>
      <c r="CH30" s="207"/>
      <c r="CI30" s="207"/>
      <c r="CJ30" s="207"/>
      <c r="CK30" s="207"/>
      <c r="CL30" s="207"/>
      <c r="CM30" s="207"/>
      <c r="CN30" s="247" t="b">
        <f t="shared" si="6"/>
        <v>0</v>
      </c>
      <c r="CQ30" s="247" t="str">
        <f t="shared" si="7"/>
        <v>Fabric Insert Option</v>
      </c>
      <c r="DI30" s="329" t="e">
        <f t="shared" si="10"/>
        <v>#N/A</v>
      </c>
      <c r="DJ30" s="329" t="e">
        <f t="shared" si="11"/>
        <v>#N/A</v>
      </c>
      <c r="DK30" s="329" t="e">
        <f t="shared" si="12"/>
        <v>#N/A</v>
      </c>
      <c r="DR30" s="247" t="str">
        <f t="shared" si="13"/>
        <v>Vertical Extension Bracket Option NA</v>
      </c>
      <c r="DU30" s="330" t="str">
        <f t="shared" si="14"/>
        <v>Other Bottom Rail Colour</v>
      </c>
      <c r="DY30" s="330" t="b">
        <f t="shared" si="15"/>
        <v>0</v>
      </c>
    </row>
    <row r="31" spans="1:129" ht="30" customHeight="1">
      <c r="A31" s="53">
        <v>24</v>
      </c>
      <c r="B31" s="13"/>
      <c r="C31" s="13"/>
      <c r="D31" s="19"/>
      <c r="E31" s="13"/>
      <c r="F31" s="15"/>
      <c r="G31" s="10"/>
      <c r="H31" s="10"/>
      <c r="I31" s="14"/>
      <c r="J31" s="10"/>
      <c r="K31" s="300"/>
      <c r="L31" s="18"/>
      <c r="M31" s="15"/>
      <c r="N31" s="118"/>
      <c r="O31" s="13"/>
      <c r="P31" s="13"/>
      <c r="Q31" s="13"/>
      <c r="R31" s="13"/>
      <c r="S31" s="267" t="str">
        <f t="shared" si="2"/>
        <v/>
      </c>
      <c r="T31" s="186"/>
      <c r="U31" s="236"/>
      <c r="V31" s="237"/>
      <c r="BM31" s="33" t="b">
        <f t="shared" si="3"/>
        <v>0</v>
      </c>
      <c r="BT31" s="33" t="str">
        <f t="shared" si="4"/>
        <v>Chain Colour</v>
      </c>
      <c r="BY31" s="33" t="b">
        <f t="shared" si="5"/>
        <v>0</v>
      </c>
      <c r="BZ31" s="207" t="s">
        <v>1772</v>
      </c>
      <c r="CA31" s="207"/>
      <c r="CB31" s="207"/>
      <c r="CC31" s="207"/>
      <c r="CD31" s="207"/>
      <c r="CE31" s="207"/>
      <c r="CF31" s="207"/>
      <c r="CG31" s="207"/>
      <c r="CH31" s="207"/>
      <c r="CI31" s="207"/>
      <c r="CJ31" s="207"/>
      <c r="CK31" s="207"/>
      <c r="CL31" s="207"/>
      <c r="CM31" s="207"/>
      <c r="CN31" s="247" t="b">
        <f t="shared" si="6"/>
        <v>0</v>
      </c>
      <c r="CQ31" s="247" t="str">
        <f t="shared" si="7"/>
        <v>Fabric Insert Option</v>
      </c>
      <c r="DI31" s="329" t="e">
        <f t="shared" si="10"/>
        <v>#N/A</v>
      </c>
      <c r="DJ31" s="329" t="e">
        <f t="shared" si="11"/>
        <v>#N/A</v>
      </c>
      <c r="DK31" s="329" t="e">
        <f t="shared" si="12"/>
        <v>#N/A</v>
      </c>
      <c r="DR31" s="247" t="str">
        <f t="shared" si="13"/>
        <v>Vertical Extension Bracket Option NA</v>
      </c>
      <c r="DU31" s="330" t="str">
        <f t="shared" si="14"/>
        <v>Other Bottom Rail Colour</v>
      </c>
      <c r="DY31" s="330" t="b">
        <f t="shared" si="15"/>
        <v>0</v>
      </c>
    </row>
    <row r="32" spans="1:129" ht="30" customHeight="1">
      <c r="A32" s="53">
        <v>25</v>
      </c>
      <c r="B32" s="13"/>
      <c r="C32" s="13"/>
      <c r="D32" s="19"/>
      <c r="E32" s="13"/>
      <c r="F32" s="15"/>
      <c r="G32" s="10"/>
      <c r="H32" s="10"/>
      <c r="I32" s="14"/>
      <c r="J32" s="14"/>
      <c r="K32" s="296"/>
      <c r="L32" s="15"/>
      <c r="M32" s="15"/>
      <c r="N32" s="118"/>
      <c r="O32" s="13"/>
      <c r="P32" s="13"/>
      <c r="Q32" s="13"/>
      <c r="R32" s="13"/>
      <c r="S32" s="267" t="str">
        <f t="shared" si="2"/>
        <v/>
      </c>
      <c r="T32" s="186"/>
      <c r="U32" s="236"/>
      <c r="V32" s="237"/>
      <c r="BM32" s="33" t="b">
        <f t="shared" si="3"/>
        <v>0</v>
      </c>
      <c r="BT32" s="33" t="str">
        <f t="shared" si="4"/>
        <v>Chain Colour</v>
      </c>
      <c r="BY32" s="33" t="b">
        <f t="shared" si="5"/>
        <v>0</v>
      </c>
      <c r="BZ32" s="207" t="s">
        <v>1773</v>
      </c>
      <c r="CA32" s="207"/>
      <c r="CB32" s="207"/>
      <c r="CC32" s="207"/>
      <c r="CD32" s="207"/>
      <c r="CE32" s="207"/>
      <c r="CF32" s="207"/>
      <c r="CG32" s="207"/>
      <c r="CH32" s="207"/>
      <c r="CI32" s="207"/>
      <c r="CJ32" s="207"/>
      <c r="CK32" s="207"/>
      <c r="CL32" s="207"/>
      <c r="CM32" s="207"/>
      <c r="CN32" s="247" t="b">
        <f t="shared" si="6"/>
        <v>0</v>
      </c>
      <c r="CQ32" s="247" t="str">
        <f t="shared" si="7"/>
        <v>Fabric Insert Option</v>
      </c>
      <c r="DI32" s="329" t="e">
        <f t="shared" si="10"/>
        <v>#N/A</v>
      </c>
      <c r="DJ32" s="329" t="e">
        <f t="shared" si="11"/>
        <v>#N/A</v>
      </c>
      <c r="DK32" s="329" t="e">
        <f t="shared" si="12"/>
        <v>#N/A</v>
      </c>
      <c r="DR32" s="247" t="str">
        <f t="shared" si="13"/>
        <v>Vertical Extension Bracket Option NA</v>
      </c>
      <c r="DU32" s="330" t="str">
        <f t="shared" si="14"/>
        <v>Other Bottom Rail Colour</v>
      </c>
      <c r="DY32" s="330" t="b">
        <f t="shared" si="15"/>
        <v>0</v>
      </c>
    </row>
    <row r="33" spans="1:129" ht="30" customHeight="1">
      <c r="A33" s="53">
        <v>26</v>
      </c>
      <c r="B33" s="13"/>
      <c r="C33" s="13"/>
      <c r="D33" s="19"/>
      <c r="E33" s="13"/>
      <c r="F33" s="15"/>
      <c r="G33" s="10"/>
      <c r="H33" s="10"/>
      <c r="I33" s="14"/>
      <c r="J33" s="14"/>
      <c r="K33" s="296"/>
      <c r="L33" s="15"/>
      <c r="M33" s="15"/>
      <c r="N33" s="118"/>
      <c r="O33" s="13"/>
      <c r="P33" s="13"/>
      <c r="Q33" s="13"/>
      <c r="R33" s="13"/>
      <c r="S33" s="267" t="str">
        <f t="shared" si="2"/>
        <v/>
      </c>
      <c r="T33" s="186"/>
      <c r="U33" s="236"/>
      <c r="V33" s="237"/>
      <c r="BM33" s="33" t="b">
        <f t="shared" si="3"/>
        <v>0</v>
      </c>
      <c r="BT33" s="33" t="str">
        <f t="shared" si="4"/>
        <v>Chain Colour</v>
      </c>
      <c r="BY33" s="33" t="b">
        <f t="shared" si="5"/>
        <v>0</v>
      </c>
      <c r="BZ33"/>
      <c r="CA33"/>
      <c r="CB33"/>
      <c r="CC33"/>
      <c r="CD33"/>
      <c r="CE33"/>
      <c r="CF33"/>
      <c r="CG33"/>
      <c r="CH33"/>
      <c r="CI33"/>
      <c r="CJ33"/>
      <c r="CK33"/>
      <c r="CL33"/>
      <c r="CM33"/>
      <c r="CQ33" s="247" t="str">
        <f t="shared" si="7"/>
        <v>Fabric Insert Option</v>
      </c>
      <c r="DI33" s="329" t="e">
        <f t="shared" si="10"/>
        <v>#N/A</v>
      </c>
      <c r="DJ33" s="329" t="e">
        <f t="shared" si="11"/>
        <v>#N/A</v>
      </c>
      <c r="DK33" s="329" t="e">
        <f t="shared" si="12"/>
        <v>#N/A</v>
      </c>
      <c r="DR33" s="247" t="str">
        <f t="shared" si="13"/>
        <v>Vertical Extension Bracket Option NA</v>
      </c>
      <c r="DU33" s="330" t="str">
        <f t="shared" si="14"/>
        <v>Other Bottom Rail Colour</v>
      </c>
      <c r="DY33" s="330" t="b">
        <f t="shared" si="15"/>
        <v>0</v>
      </c>
    </row>
    <row r="34" spans="1:129" ht="30" customHeight="1">
      <c r="A34" s="53">
        <v>27</v>
      </c>
      <c r="B34" s="13"/>
      <c r="C34" s="13"/>
      <c r="D34" s="19"/>
      <c r="E34" s="13"/>
      <c r="F34" s="15"/>
      <c r="G34" s="10"/>
      <c r="H34" s="10"/>
      <c r="I34" s="14"/>
      <c r="J34" s="14"/>
      <c r="K34" s="296"/>
      <c r="L34" s="15"/>
      <c r="M34" s="15"/>
      <c r="N34" s="118"/>
      <c r="O34" s="13"/>
      <c r="P34" s="13"/>
      <c r="Q34" s="13"/>
      <c r="R34" s="13"/>
      <c r="S34" s="267" t="str">
        <f t="shared" si="2"/>
        <v/>
      </c>
      <c r="T34" s="186"/>
      <c r="U34" s="236"/>
      <c r="V34" s="237"/>
      <c r="BM34" s="33" t="b">
        <f t="shared" si="3"/>
        <v>0</v>
      </c>
      <c r="BT34" s="33" t="str">
        <f t="shared" si="4"/>
        <v>Chain Colour</v>
      </c>
      <c r="BY34" s="33" t="b">
        <f t="shared" si="5"/>
        <v>0</v>
      </c>
      <c r="BZ34"/>
      <c r="CA34"/>
      <c r="CB34"/>
      <c r="CC34"/>
      <c r="CD34"/>
      <c r="CE34"/>
      <c r="CF34"/>
      <c r="CG34"/>
      <c r="CH34"/>
      <c r="CI34"/>
      <c r="CJ34"/>
      <c r="CK34"/>
      <c r="CL34"/>
      <c r="CM34"/>
      <c r="CQ34" s="247" t="str">
        <f t="shared" si="7"/>
        <v>Fabric Insert Option</v>
      </c>
      <c r="DI34" s="329" t="e">
        <f t="shared" si="10"/>
        <v>#N/A</v>
      </c>
      <c r="DJ34" s="329" t="e">
        <f t="shared" si="11"/>
        <v>#N/A</v>
      </c>
      <c r="DK34" s="329" t="e">
        <f t="shared" si="12"/>
        <v>#N/A</v>
      </c>
      <c r="DR34" s="247" t="str">
        <f t="shared" si="13"/>
        <v>Vertical Extension Bracket Option NA</v>
      </c>
      <c r="DU34" s="330" t="str">
        <f t="shared" si="14"/>
        <v>Other Bottom Rail Colour</v>
      </c>
      <c r="DY34" s="330" t="b">
        <f t="shared" si="15"/>
        <v>0</v>
      </c>
    </row>
    <row r="35" spans="1:129" ht="30" customHeight="1">
      <c r="A35" s="53">
        <v>28</v>
      </c>
      <c r="B35" s="13"/>
      <c r="C35" s="13"/>
      <c r="D35" s="19"/>
      <c r="E35" s="13"/>
      <c r="F35" s="15"/>
      <c r="G35" s="10"/>
      <c r="H35" s="10"/>
      <c r="I35" s="14"/>
      <c r="J35" s="14"/>
      <c r="K35" s="296"/>
      <c r="L35" s="15"/>
      <c r="M35" s="15"/>
      <c r="N35" s="118"/>
      <c r="O35" s="13"/>
      <c r="P35" s="13"/>
      <c r="Q35" s="13"/>
      <c r="R35" s="13"/>
      <c r="S35" s="267" t="str">
        <f t="shared" si="2"/>
        <v/>
      </c>
      <c r="T35" s="186"/>
      <c r="U35" s="236"/>
      <c r="V35" s="237"/>
      <c r="BM35" s="33" t="b">
        <f t="shared" si="3"/>
        <v>0</v>
      </c>
      <c r="BT35" s="33" t="str">
        <f t="shared" si="4"/>
        <v>Chain Colour</v>
      </c>
      <c r="BY35" s="33" t="b">
        <f t="shared" si="5"/>
        <v>0</v>
      </c>
      <c r="BZ35"/>
      <c r="CA35"/>
      <c r="CB35"/>
      <c r="CC35"/>
      <c r="CD35"/>
      <c r="CE35"/>
      <c r="CF35"/>
      <c r="CG35"/>
      <c r="CH35"/>
      <c r="CI35"/>
      <c r="CJ35"/>
      <c r="CK35"/>
      <c r="CL35"/>
      <c r="CM35"/>
      <c r="CQ35" s="247" t="str">
        <f t="shared" si="7"/>
        <v>Fabric Insert Option</v>
      </c>
      <c r="DI35" s="329" t="e">
        <f t="shared" si="10"/>
        <v>#N/A</v>
      </c>
      <c r="DJ35" s="329" t="e">
        <f t="shared" si="11"/>
        <v>#N/A</v>
      </c>
      <c r="DK35" s="329" t="e">
        <f t="shared" si="12"/>
        <v>#N/A</v>
      </c>
      <c r="DR35" s="247" t="str">
        <f t="shared" si="13"/>
        <v>Vertical Extension Bracket Option NA</v>
      </c>
      <c r="DU35" s="330" t="str">
        <f t="shared" si="14"/>
        <v>Other Bottom Rail Colour</v>
      </c>
      <c r="DY35" s="330" t="b">
        <f t="shared" si="15"/>
        <v>0</v>
      </c>
    </row>
    <row r="36" spans="1:129" ht="30" customHeight="1">
      <c r="A36" s="53">
        <v>29</v>
      </c>
      <c r="B36" s="13"/>
      <c r="C36" s="13"/>
      <c r="D36" s="19"/>
      <c r="E36" s="13"/>
      <c r="F36" s="15"/>
      <c r="G36" s="10"/>
      <c r="H36" s="10"/>
      <c r="I36" s="14"/>
      <c r="J36" s="14"/>
      <c r="K36" s="296"/>
      <c r="L36" s="15"/>
      <c r="M36" s="15"/>
      <c r="N36" s="118"/>
      <c r="O36" s="13"/>
      <c r="P36" s="13"/>
      <c r="Q36" s="13"/>
      <c r="R36" s="13"/>
      <c r="S36" s="267" t="str">
        <f t="shared" si="2"/>
        <v/>
      </c>
      <c r="T36" s="186"/>
      <c r="U36" s="236"/>
      <c r="V36" s="237"/>
      <c r="BM36" s="33" t="b">
        <f t="shared" si="3"/>
        <v>0</v>
      </c>
      <c r="BT36" s="33" t="str">
        <f t="shared" si="4"/>
        <v>Chain Colour</v>
      </c>
      <c r="BY36" s="33" t="b">
        <f t="shared" si="5"/>
        <v>0</v>
      </c>
      <c r="BZ36"/>
      <c r="CA36"/>
      <c r="CB36"/>
      <c r="CC36"/>
      <c r="CD36"/>
      <c r="CE36"/>
      <c r="CF36"/>
      <c r="CG36"/>
      <c r="CH36"/>
      <c r="CI36"/>
      <c r="CJ36"/>
      <c r="CK36"/>
      <c r="CL36"/>
      <c r="CM36"/>
      <c r="CQ36" s="247" t="str">
        <f t="shared" si="7"/>
        <v>Fabric Insert Option</v>
      </c>
      <c r="DI36" s="329" t="e">
        <f t="shared" si="10"/>
        <v>#N/A</v>
      </c>
      <c r="DJ36" s="329" t="e">
        <f t="shared" si="11"/>
        <v>#N/A</v>
      </c>
      <c r="DK36" s="329" t="e">
        <f t="shared" si="12"/>
        <v>#N/A</v>
      </c>
      <c r="DR36" s="247" t="str">
        <f t="shared" si="13"/>
        <v>Vertical Extension Bracket Option NA</v>
      </c>
      <c r="DU36" s="330" t="str">
        <f t="shared" si="14"/>
        <v>Other Bottom Rail Colour</v>
      </c>
      <c r="DY36" s="330" t="b">
        <f t="shared" si="15"/>
        <v>0</v>
      </c>
    </row>
    <row r="37" spans="1:129" ht="30" customHeight="1">
      <c r="A37" s="53">
        <v>30</v>
      </c>
      <c r="B37" s="13"/>
      <c r="C37" s="13"/>
      <c r="D37" s="19"/>
      <c r="E37" s="13"/>
      <c r="F37" s="15"/>
      <c r="G37" s="10"/>
      <c r="H37" s="10"/>
      <c r="I37" s="14"/>
      <c r="J37" s="14"/>
      <c r="K37" s="296"/>
      <c r="L37" s="15"/>
      <c r="M37" s="15"/>
      <c r="N37" s="118"/>
      <c r="O37" s="13"/>
      <c r="P37" s="13"/>
      <c r="Q37" s="13"/>
      <c r="R37" s="13"/>
      <c r="S37" s="267" t="str">
        <f t="shared" si="2"/>
        <v/>
      </c>
      <c r="T37" s="186"/>
      <c r="U37" s="236"/>
      <c r="V37" s="237"/>
      <c r="BM37" s="33" t="b">
        <f t="shared" si="3"/>
        <v>0</v>
      </c>
      <c r="BT37" s="33" t="str">
        <f t="shared" si="4"/>
        <v>Chain Colour</v>
      </c>
      <c r="BY37" s="33" t="b">
        <f t="shared" si="5"/>
        <v>0</v>
      </c>
      <c r="BZ37"/>
      <c r="CA37"/>
      <c r="CB37"/>
      <c r="CC37"/>
      <c r="CD37"/>
      <c r="CE37"/>
      <c r="CF37"/>
      <c r="CG37"/>
      <c r="CH37"/>
      <c r="CI37"/>
      <c r="CJ37"/>
      <c r="CK37"/>
      <c r="CL37"/>
      <c r="CM37"/>
      <c r="CQ37" s="247" t="str">
        <f t="shared" si="7"/>
        <v>Fabric Insert Option</v>
      </c>
      <c r="DI37" s="329" t="e">
        <f t="shared" si="10"/>
        <v>#N/A</v>
      </c>
      <c r="DJ37" s="329" t="e">
        <f t="shared" si="11"/>
        <v>#N/A</v>
      </c>
      <c r="DK37" s="329" t="e">
        <f t="shared" si="12"/>
        <v>#N/A</v>
      </c>
      <c r="DR37" s="247" t="str">
        <f t="shared" si="13"/>
        <v>Vertical Extension Bracket Option NA</v>
      </c>
      <c r="DU37" s="330" t="str">
        <f t="shared" si="14"/>
        <v>Other Bottom Rail Colour</v>
      </c>
      <c r="DY37" s="330" t="b">
        <f t="shared" si="15"/>
        <v>0</v>
      </c>
    </row>
    <row r="38" spans="1:129" ht="30" customHeight="1">
      <c r="A38" s="53">
        <v>31</v>
      </c>
      <c r="B38" s="13"/>
      <c r="C38" s="13"/>
      <c r="D38" s="19"/>
      <c r="E38" s="13"/>
      <c r="F38" s="15"/>
      <c r="G38" s="10"/>
      <c r="H38" s="10"/>
      <c r="I38" s="14"/>
      <c r="J38" s="14"/>
      <c r="K38" s="296"/>
      <c r="L38" s="15"/>
      <c r="M38" s="15"/>
      <c r="N38" s="118"/>
      <c r="O38" s="13"/>
      <c r="P38" s="13"/>
      <c r="Q38" s="13"/>
      <c r="R38" s="13"/>
      <c r="S38" s="267" t="str">
        <f t="shared" si="2"/>
        <v/>
      </c>
      <c r="T38" s="186"/>
      <c r="U38" s="236"/>
      <c r="V38" s="237"/>
      <c r="BM38" s="33" t="b">
        <f t="shared" si="3"/>
        <v>0</v>
      </c>
      <c r="BT38" s="33" t="str">
        <f t="shared" si="4"/>
        <v>Chain Colour</v>
      </c>
      <c r="BY38" s="33" t="b">
        <f t="shared" si="5"/>
        <v>0</v>
      </c>
      <c r="CQ38" s="247" t="str">
        <f t="shared" si="7"/>
        <v>Fabric Insert Option</v>
      </c>
      <c r="DI38" s="329" t="e">
        <f t="shared" si="10"/>
        <v>#N/A</v>
      </c>
      <c r="DJ38" s="329" t="e">
        <f t="shared" si="11"/>
        <v>#N/A</v>
      </c>
      <c r="DK38" s="329" t="e">
        <f t="shared" si="12"/>
        <v>#N/A</v>
      </c>
      <c r="DR38" s="247" t="str">
        <f t="shared" si="13"/>
        <v>Vertical Extension Bracket Option NA</v>
      </c>
      <c r="DU38" s="330" t="str">
        <f t="shared" si="14"/>
        <v>Other Bottom Rail Colour</v>
      </c>
      <c r="DY38" s="330" t="b">
        <f t="shared" si="15"/>
        <v>0</v>
      </c>
    </row>
    <row r="39" spans="1:129" ht="30" customHeight="1">
      <c r="A39" s="53">
        <v>32</v>
      </c>
      <c r="B39" s="13"/>
      <c r="C39" s="13"/>
      <c r="D39" s="19"/>
      <c r="E39" s="13"/>
      <c r="F39" s="15"/>
      <c r="G39" s="10"/>
      <c r="H39" s="10"/>
      <c r="I39" s="14"/>
      <c r="J39" s="14"/>
      <c r="K39" s="296"/>
      <c r="L39" s="15"/>
      <c r="M39" s="15"/>
      <c r="N39" s="118"/>
      <c r="O39" s="13"/>
      <c r="P39" s="13"/>
      <c r="Q39" s="13"/>
      <c r="R39" s="13"/>
      <c r="S39" s="267" t="str">
        <f t="shared" si="2"/>
        <v/>
      </c>
      <c r="T39" s="186"/>
      <c r="U39" s="236"/>
      <c r="V39" s="237"/>
      <c r="BM39" s="33" t="b">
        <f t="shared" si="3"/>
        <v>0</v>
      </c>
      <c r="BT39" s="33" t="str">
        <f t="shared" si="4"/>
        <v>Chain Colour</v>
      </c>
      <c r="BY39" s="33" t="b">
        <f t="shared" si="5"/>
        <v>0</v>
      </c>
      <c r="CQ39" s="247" t="str">
        <f t="shared" si="7"/>
        <v>Fabric Insert Option</v>
      </c>
      <c r="DI39" s="329" t="e">
        <f t="shared" si="10"/>
        <v>#N/A</v>
      </c>
      <c r="DJ39" s="329" t="e">
        <f t="shared" si="11"/>
        <v>#N/A</v>
      </c>
      <c r="DK39" s="329" t="e">
        <f t="shared" si="12"/>
        <v>#N/A</v>
      </c>
      <c r="DR39" s="247" t="str">
        <f t="shared" si="13"/>
        <v>Vertical Extension Bracket Option NA</v>
      </c>
      <c r="DU39" s="330" t="str">
        <f t="shared" si="14"/>
        <v>Other Bottom Rail Colour</v>
      </c>
      <c r="DY39" s="330" t="b">
        <f t="shared" si="15"/>
        <v>0</v>
      </c>
    </row>
    <row r="40" spans="1:129" ht="30" customHeight="1">
      <c r="A40" s="53">
        <v>33</v>
      </c>
      <c r="B40" s="13"/>
      <c r="C40" s="13"/>
      <c r="D40" s="19"/>
      <c r="E40" s="13"/>
      <c r="F40" s="15"/>
      <c r="G40" s="10"/>
      <c r="H40" s="10"/>
      <c r="I40" s="14"/>
      <c r="J40" s="14"/>
      <c r="K40" s="296"/>
      <c r="L40" s="15"/>
      <c r="M40" s="15"/>
      <c r="N40" s="118"/>
      <c r="O40" s="13"/>
      <c r="P40" s="13"/>
      <c r="Q40" s="13"/>
      <c r="R40" s="13"/>
      <c r="S40" s="267" t="str">
        <f t="shared" ref="S40:S57" si="17">IF(SUM(C40)=0,"",SUM(((G40*H40)/1000000)))</f>
        <v/>
      </c>
      <c r="T40" s="186"/>
      <c r="U40" s="236"/>
      <c r="V40" s="237"/>
      <c r="BM40" s="33" t="b">
        <f t="shared" si="3"/>
        <v>0</v>
      </c>
      <c r="BT40" s="33" t="str">
        <f t="shared" si="4"/>
        <v>Chain Colour</v>
      </c>
      <c r="BY40" s="33" t="b">
        <f t="shared" si="5"/>
        <v>0</v>
      </c>
      <c r="CQ40" s="247" t="str">
        <f t="shared" si="7"/>
        <v>Fabric Insert Option</v>
      </c>
      <c r="DI40" s="329" t="e">
        <f t="shared" si="10"/>
        <v>#N/A</v>
      </c>
      <c r="DJ40" s="329" t="e">
        <f t="shared" si="11"/>
        <v>#N/A</v>
      </c>
      <c r="DK40" s="329" t="e">
        <f t="shared" si="12"/>
        <v>#N/A</v>
      </c>
      <c r="DR40" s="247" t="str">
        <f t="shared" si="13"/>
        <v>Vertical Extension Bracket Option NA</v>
      </c>
      <c r="DU40" s="330" t="str">
        <f t="shared" si="14"/>
        <v>Other Bottom Rail Colour</v>
      </c>
      <c r="DY40" s="330" t="b">
        <f t="shared" si="15"/>
        <v>0</v>
      </c>
    </row>
    <row r="41" spans="1:129" ht="30" customHeight="1">
      <c r="A41" s="53">
        <v>34</v>
      </c>
      <c r="B41" s="13"/>
      <c r="C41" s="13"/>
      <c r="D41" s="19"/>
      <c r="E41" s="13"/>
      <c r="F41" s="15"/>
      <c r="G41" s="10"/>
      <c r="H41" s="10"/>
      <c r="I41" s="14"/>
      <c r="J41" s="14"/>
      <c r="K41" s="296"/>
      <c r="L41" s="15"/>
      <c r="M41" s="15"/>
      <c r="N41" s="118"/>
      <c r="O41" s="13"/>
      <c r="P41" s="13"/>
      <c r="Q41" s="13"/>
      <c r="R41" s="13"/>
      <c r="S41" s="267" t="str">
        <f t="shared" si="17"/>
        <v/>
      </c>
      <c r="T41" s="186"/>
      <c r="U41" s="236"/>
      <c r="V41" s="237"/>
      <c r="BM41" s="33" t="b">
        <f t="shared" si="3"/>
        <v>0</v>
      </c>
      <c r="BT41" s="33" t="str">
        <f t="shared" si="4"/>
        <v>Chain Colour</v>
      </c>
      <c r="BY41" s="33" t="b">
        <f t="shared" si="5"/>
        <v>0</v>
      </c>
      <c r="CQ41" s="247" t="str">
        <f t="shared" si="7"/>
        <v>Fabric Insert Option</v>
      </c>
      <c r="DI41" s="329" t="e">
        <f t="shared" si="10"/>
        <v>#N/A</v>
      </c>
      <c r="DJ41" s="329" t="e">
        <f t="shared" si="11"/>
        <v>#N/A</v>
      </c>
      <c r="DK41" s="329" t="e">
        <f t="shared" si="12"/>
        <v>#N/A</v>
      </c>
      <c r="DR41" s="247" t="str">
        <f t="shared" si="13"/>
        <v>Vertical Extension Bracket Option NA</v>
      </c>
      <c r="DU41" s="330" t="str">
        <f t="shared" si="14"/>
        <v>Other Bottom Rail Colour</v>
      </c>
      <c r="DY41" s="330" t="b">
        <f t="shared" si="15"/>
        <v>0</v>
      </c>
    </row>
    <row r="42" spans="1:129" ht="30" customHeight="1">
      <c r="A42" s="53">
        <v>35</v>
      </c>
      <c r="B42" s="13"/>
      <c r="C42" s="13"/>
      <c r="D42" s="19"/>
      <c r="E42" s="13"/>
      <c r="F42" s="15"/>
      <c r="G42" s="10"/>
      <c r="H42" s="10"/>
      <c r="I42" s="14"/>
      <c r="J42" s="14"/>
      <c r="K42" s="296"/>
      <c r="L42" s="15"/>
      <c r="M42" s="15"/>
      <c r="N42" s="118"/>
      <c r="O42" s="13"/>
      <c r="P42" s="13"/>
      <c r="Q42" s="13"/>
      <c r="R42" s="13"/>
      <c r="S42" s="267" t="str">
        <f t="shared" si="17"/>
        <v/>
      </c>
      <c r="T42" s="186"/>
      <c r="U42" s="236"/>
      <c r="V42" s="237"/>
      <c r="BM42" s="33" t="b">
        <f t="shared" si="3"/>
        <v>0</v>
      </c>
      <c r="BT42" s="33" t="str">
        <f t="shared" si="4"/>
        <v>Chain Colour</v>
      </c>
      <c r="BY42" s="33" t="b">
        <f t="shared" si="5"/>
        <v>0</v>
      </c>
      <c r="CQ42" s="247" t="str">
        <f t="shared" si="7"/>
        <v>Fabric Insert Option</v>
      </c>
      <c r="DI42" s="329" t="e">
        <f t="shared" si="10"/>
        <v>#N/A</v>
      </c>
      <c r="DJ42" s="329" t="e">
        <f t="shared" si="11"/>
        <v>#N/A</v>
      </c>
      <c r="DK42" s="329" t="e">
        <f t="shared" si="12"/>
        <v>#N/A</v>
      </c>
      <c r="DR42" s="247" t="str">
        <f t="shared" si="13"/>
        <v>Vertical Extension Bracket Option NA</v>
      </c>
      <c r="DU42" s="330" t="str">
        <f t="shared" si="14"/>
        <v>Other Bottom Rail Colour</v>
      </c>
      <c r="DY42" s="330" t="b">
        <f t="shared" si="15"/>
        <v>0</v>
      </c>
    </row>
    <row r="43" spans="1:129" ht="30" customHeight="1">
      <c r="A43" s="53">
        <v>36</v>
      </c>
      <c r="B43" s="13"/>
      <c r="C43" s="13"/>
      <c r="D43" s="19"/>
      <c r="E43" s="13"/>
      <c r="F43" s="15"/>
      <c r="G43" s="10"/>
      <c r="H43" s="10"/>
      <c r="I43" s="14"/>
      <c r="J43" s="14"/>
      <c r="K43" s="296"/>
      <c r="L43" s="15"/>
      <c r="M43" s="15"/>
      <c r="N43" s="118"/>
      <c r="O43" s="13"/>
      <c r="P43" s="13"/>
      <c r="Q43" s="13"/>
      <c r="R43" s="13"/>
      <c r="S43" s="267" t="str">
        <f t="shared" si="17"/>
        <v/>
      </c>
      <c r="T43" s="186"/>
      <c r="U43" s="236"/>
      <c r="V43" s="237"/>
      <c r="BM43" s="33" t="b">
        <f t="shared" si="3"/>
        <v>0</v>
      </c>
      <c r="BT43" s="33" t="str">
        <f t="shared" si="4"/>
        <v>Chain Colour</v>
      </c>
      <c r="BY43" s="33" t="b">
        <f t="shared" si="5"/>
        <v>0</v>
      </c>
      <c r="CQ43" s="247" t="str">
        <f t="shared" si="7"/>
        <v>Fabric Insert Option</v>
      </c>
      <c r="DI43" s="329" t="e">
        <f t="shared" si="10"/>
        <v>#N/A</v>
      </c>
      <c r="DJ43" s="329" t="e">
        <f t="shared" si="11"/>
        <v>#N/A</v>
      </c>
      <c r="DK43" s="329" t="e">
        <f t="shared" si="12"/>
        <v>#N/A</v>
      </c>
      <c r="DR43" s="247" t="str">
        <f t="shared" si="13"/>
        <v>Vertical Extension Bracket Option NA</v>
      </c>
      <c r="DU43" s="330" t="str">
        <f t="shared" si="14"/>
        <v>Other Bottom Rail Colour</v>
      </c>
      <c r="DY43" s="330" t="b">
        <f t="shared" si="15"/>
        <v>0</v>
      </c>
    </row>
    <row r="44" spans="1:129" ht="30" customHeight="1">
      <c r="A44" s="53">
        <v>37</v>
      </c>
      <c r="B44" s="13"/>
      <c r="C44" s="13"/>
      <c r="D44" s="19"/>
      <c r="E44" s="13"/>
      <c r="F44" s="15"/>
      <c r="G44" s="10"/>
      <c r="H44" s="10"/>
      <c r="I44" s="14"/>
      <c r="J44" s="14"/>
      <c r="K44" s="296"/>
      <c r="L44" s="15"/>
      <c r="M44" s="15"/>
      <c r="N44" s="118"/>
      <c r="O44" s="13"/>
      <c r="P44" s="13"/>
      <c r="Q44" s="13"/>
      <c r="R44" s="13"/>
      <c r="S44" s="267" t="str">
        <f t="shared" si="17"/>
        <v/>
      </c>
      <c r="T44" s="186"/>
      <c r="U44" s="236"/>
      <c r="V44" s="237"/>
      <c r="BM44" s="33" t="b">
        <f t="shared" si="3"/>
        <v>0</v>
      </c>
      <c r="BT44" s="33" t="str">
        <f t="shared" si="4"/>
        <v>Chain Colour</v>
      </c>
      <c r="BY44" s="33" t="b">
        <f t="shared" si="5"/>
        <v>0</v>
      </c>
      <c r="CQ44" s="247" t="str">
        <f t="shared" si="7"/>
        <v>Fabric Insert Option</v>
      </c>
      <c r="DI44" s="329" t="e">
        <f t="shared" si="10"/>
        <v>#N/A</v>
      </c>
      <c r="DJ44" s="329" t="e">
        <f t="shared" si="11"/>
        <v>#N/A</v>
      </c>
      <c r="DK44" s="329" t="e">
        <f t="shared" si="12"/>
        <v>#N/A</v>
      </c>
      <c r="DR44" s="247" t="str">
        <f t="shared" si="13"/>
        <v>Vertical Extension Bracket Option NA</v>
      </c>
      <c r="DU44" s="330" t="str">
        <f t="shared" si="14"/>
        <v>Other Bottom Rail Colour</v>
      </c>
      <c r="DY44" s="330" t="b">
        <f t="shared" si="15"/>
        <v>0</v>
      </c>
    </row>
    <row r="45" spans="1:129" ht="30" customHeight="1">
      <c r="A45" s="53">
        <v>38</v>
      </c>
      <c r="B45" s="13"/>
      <c r="C45" s="13"/>
      <c r="D45" s="19"/>
      <c r="E45" s="13"/>
      <c r="F45" s="15"/>
      <c r="G45" s="10"/>
      <c r="H45" s="10"/>
      <c r="I45" s="14"/>
      <c r="J45" s="14"/>
      <c r="K45" s="296"/>
      <c r="L45" s="15"/>
      <c r="M45" s="15"/>
      <c r="N45" s="118"/>
      <c r="O45" s="13"/>
      <c r="P45" s="13"/>
      <c r="Q45" s="13"/>
      <c r="R45" s="13"/>
      <c r="S45" s="267" t="str">
        <f t="shared" si="17"/>
        <v/>
      </c>
      <c r="T45" s="186"/>
      <c r="U45" s="236"/>
      <c r="V45" s="237"/>
      <c r="BM45" s="33" t="b">
        <f t="shared" si="3"/>
        <v>0</v>
      </c>
      <c r="BT45" s="33" t="str">
        <f t="shared" si="4"/>
        <v>Chain Colour</v>
      </c>
      <c r="BY45" s="33" t="b">
        <f t="shared" si="5"/>
        <v>0</v>
      </c>
      <c r="CQ45" s="247" t="str">
        <f t="shared" si="7"/>
        <v>Fabric Insert Option</v>
      </c>
      <c r="DI45" s="329" t="e">
        <f t="shared" si="10"/>
        <v>#N/A</v>
      </c>
      <c r="DJ45" s="329" t="e">
        <f t="shared" si="11"/>
        <v>#N/A</v>
      </c>
      <c r="DK45" s="329" t="e">
        <f t="shared" si="12"/>
        <v>#N/A</v>
      </c>
      <c r="DR45" s="247" t="str">
        <f t="shared" si="13"/>
        <v>Vertical Extension Bracket Option NA</v>
      </c>
      <c r="DU45" s="330" t="str">
        <f t="shared" si="14"/>
        <v>Other Bottom Rail Colour</v>
      </c>
      <c r="DY45" s="330" t="b">
        <f t="shared" si="15"/>
        <v>0</v>
      </c>
    </row>
    <row r="46" spans="1:129" ht="30" customHeight="1">
      <c r="A46" s="53">
        <v>39</v>
      </c>
      <c r="B46" s="13"/>
      <c r="C46" s="13"/>
      <c r="D46" s="19"/>
      <c r="E46" s="13"/>
      <c r="F46" s="15"/>
      <c r="G46" s="10"/>
      <c r="H46" s="10"/>
      <c r="I46" s="14"/>
      <c r="J46" s="14"/>
      <c r="K46" s="296"/>
      <c r="L46" s="15"/>
      <c r="M46" s="15"/>
      <c r="N46" s="118"/>
      <c r="O46" s="13"/>
      <c r="P46" s="13"/>
      <c r="Q46" s="13"/>
      <c r="R46" s="13"/>
      <c r="S46" s="267" t="str">
        <f t="shared" si="17"/>
        <v/>
      </c>
      <c r="T46" s="186"/>
      <c r="U46" s="236"/>
      <c r="V46" s="237"/>
      <c r="BM46" s="33" t="b">
        <f t="shared" si="3"/>
        <v>0</v>
      </c>
      <c r="BT46" s="33" t="str">
        <f t="shared" si="4"/>
        <v>Chain Colour</v>
      </c>
      <c r="BY46" s="33" t="b">
        <f t="shared" si="5"/>
        <v>0</v>
      </c>
      <c r="CQ46" s="247" t="str">
        <f t="shared" si="7"/>
        <v>Fabric Insert Option</v>
      </c>
      <c r="DI46" s="329" t="e">
        <f t="shared" si="10"/>
        <v>#N/A</v>
      </c>
      <c r="DJ46" s="329" t="e">
        <f t="shared" si="11"/>
        <v>#N/A</v>
      </c>
      <c r="DK46" s="329" t="e">
        <f t="shared" si="12"/>
        <v>#N/A</v>
      </c>
      <c r="DR46" s="247" t="str">
        <f t="shared" si="13"/>
        <v>Vertical Extension Bracket Option NA</v>
      </c>
      <c r="DU46" s="330" t="str">
        <f t="shared" si="14"/>
        <v>Other Bottom Rail Colour</v>
      </c>
      <c r="DY46" s="330" t="b">
        <f t="shared" si="15"/>
        <v>0</v>
      </c>
    </row>
    <row r="47" spans="1:129" ht="30" customHeight="1">
      <c r="A47" s="53">
        <v>40</v>
      </c>
      <c r="B47" s="13"/>
      <c r="C47" s="13"/>
      <c r="D47" s="19"/>
      <c r="E47" s="13"/>
      <c r="F47" s="15"/>
      <c r="G47" s="10"/>
      <c r="H47" s="10"/>
      <c r="I47" s="14"/>
      <c r="J47" s="14"/>
      <c r="K47" s="296"/>
      <c r="L47" s="15"/>
      <c r="M47" s="15"/>
      <c r="N47" s="118"/>
      <c r="O47" s="13"/>
      <c r="P47" s="13"/>
      <c r="Q47" s="13"/>
      <c r="R47" s="13"/>
      <c r="S47" s="267" t="str">
        <f t="shared" si="17"/>
        <v/>
      </c>
      <c r="T47" s="186"/>
      <c r="U47" s="236"/>
      <c r="V47" s="237"/>
      <c r="BM47" s="33" t="b">
        <f t="shared" si="3"/>
        <v>0</v>
      </c>
      <c r="BT47" s="33" t="str">
        <f t="shared" si="4"/>
        <v>Chain Colour</v>
      </c>
      <c r="BY47" s="33" t="b">
        <f t="shared" si="5"/>
        <v>0</v>
      </c>
      <c r="CQ47" s="247" t="str">
        <f t="shared" si="7"/>
        <v>Fabric Insert Option</v>
      </c>
      <c r="DI47" s="329" t="e">
        <f t="shared" si="10"/>
        <v>#N/A</v>
      </c>
      <c r="DJ47" s="329" t="e">
        <f t="shared" si="11"/>
        <v>#N/A</v>
      </c>
      <c r="DK47" s="329" t="e">
        <f t="shared" si="12"/>
        <v>#N/A</v>
      </c>
      <c r="DR47" s="247" t="str">
        <f t="shared" si="13"/>
        <v>Vertical Extension Bracket Option NA</v>
      </c>
      <c r="DU47" s="330" t="str">
        <f t="shared" si="14"/>
        <v>Other Bottom Rail Colour</v>
      </c>
      <c r="DY47" s="330" t="b">
        <f t="shared" si="15"/>
        <v>0</v>
      </c>
    </row>
    <row r="48" spans="1:129" ht="30" customHeight="1">
      <c r="A48" s="53">
        <v>41</v>
      </c>
      <c r="B48" s="13"/>
      <c r="C48" s="13"/>
      <c r="D48" s="19"/>
      <c r="E48" s="13"/>
      <c r="F48" s="15"/>
      <c r="G48" s="10"/>
      <c r="H48" s="10"/>
      <c r="I48" s="14"/>
      <c r="J48" s="14"/>
      <c r="K48" s="296"/>
      <c r="L48" s="15"/>
      <c r="M48" s="15"/>
      <c r="N48" s="118"/>
      <c r="O48" s="13"/>
      <c r="P48" s="13"/>
      <c r="Q48" s="13"/>
      <c r="R48" s="13"/>
      <c r="S48" s="267" t="str">
        <f t="shared" si="17"/>
        <v/>
      </c>
      <c r="T48" s="186"/>
      <c r="U48" s="236"/>
      <c r="V48" s="237"/>
      <c r="BM48" s="33" t="b">
        <f t="shared" si="3"/>
        <v>0</v>
      </c>
      <c r="BT48" s="33" t="str">
        <f t="shared" si="4"/>
        <v>Chain Colour</v>
      </c>
      <c r="BY48" s="33" t="b">
        <f t="shared" si="5"/>
        <v>0</v>
      </c>
      <c r="CQ48" s="247" t="str">
        <f t="shared" si="7"/>
        <v>Fabric Insert Option</v>
      </c>
      <c r="DI48" s="329" t="e">
        <f t="shared" si="10"/>
        <v>#N/A</v>
      </c>
      <c r="DJ48" s="329" t="e">
        <f t="shared" si="11"/>
        <v>#N/A</v>
      </c>
      <c r="DK48" s="329" t="e">
        <f t="shared" si="12"/>
        <v>#N/A</v>
      </c>
      <c r="DR48" s="247" t="str">
        <f t="shared" si="13"/>
        <v>Vertical Extension Bracket Option NA</v>
      </c>
      <c r="DU48" s="330" t="str">
        <f t="shared" si="14"/>
        <v>Other Bottom Rail Colour</v>
      </c>
      <c r="DY48" s="330" t="b">
        <f t="shared" si="15"/>
        <v>0</v>
      </c>
    </row>
    <row r="49" spans="1:129" ht="30" customHeight="1">
      <c r="A49" s="53">
        <v>42</v>
      </c>
      <c r="B49" s="13"/>
      <c r="C49" s="13"/>
      <c r="D49" s="19"/>
      <c r="E49" s="13"/>
      <c r="F49" s="15"/>
      <c r="G49" s="10"/>
      <c r="H49" s="10"/>
      <c r="I49" s="14"/>
      <c r="J49" s="14"/>
      <c r="K49" s="296"/>
      <c r="L49" s="15"/>
      <c r="M49" s="15"/>
      <c r="N49" s="118"/>
      <c r="O49" s="13"/>
      <c r="P49" s="13"/>
      <c r="Q49" s="13"/>
      <c r="R49" s="13"/>
      <c r="S49" s="267" t="str">
        <f t="shared" si="17"/>
        <v/>
      </c>
      <c r="T49" s="186"/>
      <c r="U49" s="236"/>
      <c r="V49" s="237"/>
      <c r="BM49" s="33" t="b">
        <f t="shared" si="3"/>
        <v>0</v>
      </c>
      <c r="BT49" s="33" t="str">
        <f t="shared" si="4"/>
        <v>Chain Colour</v>
      </c>
      <c r="BY49" s="33" t="b">
        <f t="shared" si="5"/>
        <v>0</v>
      </c>
      <c r="CQ49" s="247" t="str">
        <f t="shared" si="7"/>
        <v>Fabric Insert Option</v>
      </c>
      <c r="DI49" s="329" t="e">
        <f t="shared" si="10"/>
        <v>#N/A</v>
      </c>
      <c r="DJ49" s="329" t="e">
        <f t="shared" si="11"/>
        <v>#N/A</v>
      </c>
      <c r="DK49" s="329" t="e">
        <f t="shared" si="12"/>
        <v>#N/A</v>
      </c>
      <c r="DR49" s="247" t="str">
        <f t="shared" si="13"/>
        <v>Vertical Extension Bracket Option NA</v>
      </c>
      <c r="DU49" s="330" t="str">
        <f t="shared" si="14"/>
        <v>Other Bottom Rail Colour</v>
      </c>
      <c r="DY49" s="330" t="b">
        <f t="shared" si="15"/>
        <v>0</v>
      </c>
    </row>
    <row r="50" spans="1:129" ht="30" customHeight="1">
      <c r="A50" s="53">
        <v>43</v>
      </c>
      <c r="B50" s="13"/>
      <c r="C50" s="13"/>
      <c r="D50" s="19"/>
      <c r="E50" s="13"/>
      <c r="F50" s="15"/>
      <c r="G50" s="10"/>
      <c r="H50" s="10"/>
      <c r="I50" s="14"/>
      <c r="J50" s="14"/>
      <c r="K50" s="296"/>
      <c r="L50" s="15"/>
      <c r="M50" s="15"/>
      <c r="N50" s="118"/>
      <c r="O50" s="13"/>
      <c r="P50" s="13"/>
      <c r="Q50" s="13"/>
      <c r="R50" s="13"/>
      <c r="S50" s="267" t="str">
        <f t="shared" si="17"/>
        <v/>
      </c>
      <c r="T50" s="186"/>
      <c r="U50" s="236"/>
      <c r="V50" s="237"/>
      <c r="BM50" s="33" t="b">
        <f t="shared" si="3"/>
        <v>0</v>
      </c>
      <c r="BT50" s="33" t="str">
        <f t="shared" si="4"/>
        <v>Chain Colour</v>
      </c>
      <c r="BY50" s="33" t="b">
        <f t="shared" si="5"/>
        <v>0</v>
      </c>
      <c r="CQ50" s="247" t="str">
        <f t="shared" si="7"/>
        <v>Fabric Insert Option</v>
      </c>
      <c r="DI50" s="329" t="e">
        <f t="shared" si="10"/>
        <v>#N/A</v>
      </c>
      <c r="DJ50" s="329" t="e">
        <f t="shared" si="11"/>
        <v>#N/A</v>
      </c>
      <c r="DK50" s="329" t="e">
        <f t="shared" si="12"/>
        <v>#N/A</v>
      </c>
      <c r="DR50" s="247" t="str">
        <f t="shared" si="13"/>
        <v>Vertical Extension Bracket Option NA</v>
      </c>
      <c r="DU50" s="330" t="str">
        <f t="shared" si="14"/>
        <v>Other Bottom Rail Colour</v>
      </c>
      <c r="DY50" s="330" t="b">
        <f t="shared" si="15"/>
        <v>0</v>
      </c>
    </row>
    <row r="51" spans="1:129" ht="30" customHeight="1">
      <c r="A51" s="53">
        <v>44</v>
      </c>
      <c r="B51" s="13"/>
      <c r="C51" s="13"/>
      <c r="D51" s="19"/>
      <c r="E51" s="13"/>
      <c r="F51" s="15"/>
      <c r="G51" s="10"/>
      <c r="H51" s="10"/>
      <c r="I51" s="14"/>
      <c r="J51" s="14"/>
      <c r="K51" s="296"/>
      <c r="L51" s="15"/>
      <c r="M51" s="15"/>
      <c r="N51" s="118"/>
      <c r="O51" s="13"/>
      <c r="P51" s="13"/>
      <c r="Q51" s="13"/>
      <c r="R51" s="13"/>
      <c r="S51" s="267" t="str">
        <f t="shared" si="17"/>
        <v/>
      </c>
      <c r="T51" s="186"/>
      <c r="U51" s="236"/>
      <c r="V51" s="237"/>
      <c r="BM51" s="33" t="b">
        <f t="shared" si="3"/>
        <v>0</v>
      </c>
      <c r="BT51" s="33" t="str">
        <f t="shared" si="4"/>
        <v>Chain Colour</v>
      </c>
      <c r="BY51" s="33" t="b">
        <f t="shared" si="5"/>
        <v>0</v>
      </c>
      <c r="CQ51" s="247" t="str">
        <f t="shared" si="7"/>
        <v>Fabric Insert Option</v>
      </c>
      <c r="DI51" s="329" t="e">
        <f t="shared" si="10"/>
        <v>#N/A</v>
      </c>
      <c r="DJ51" s="329" t="e">
        <f t="shared" si="11"/>
        <v>#N/A</v>
      </c>
      <c r="DK51" s="329" t="e">
        <f t="shared" si="12"/>
        <v>#N/A</v>
      </c>
      <c r="DR51" s="247" t="str">
        <f t="shared" si="13"/>
        <v>Vertical Extension Bracket Option NA</v>
      </c>
      <c r="DU51" s="330" t="str">
        <f t="shared" si="14"/>
        <v>Other Bottom Rail Colour</v>
      </c>
      <c r="DY51" s="330" t="b">
        <f t="shared" si="15"/>
        <v>0</v>
      </c>
    </row>
    <row r="52" spans="1:129" ht="30" customHeight="1">
      <c r="A52" s="53">
        <v>45</v>
      </c>
      <c r="B52" s="13"/>
      <c r="C52" s="13"/>
      <c r="D52" s="19"/>
      <c r="E52" s="13"/>
      <c r="F52" s="15"/>
      <c r="G52" s="10"/>
      <c r="H52" s="10"/>
      <c r="I52" s="14"/>
      <c r="J52" s="14"/>
      <c r="K52" s="296"/>
      <c r="L52" s="15"/>
      <c r="M52" s="15"/>
      <c r="N52" s="118"/>
      <c r="O52" s="13"/>
      <c r="P52" s="13"/>
      <c r="Q52" s="13"/>
      <c r="R52" s="13"/>
      <c r="S52" s="267" t="str">
        <f t="shared" si="17"/>
        <v/>
      </c>
      <c r="T52" s="186"/>
      <c r="U52" s="236"/>
      <c r="V52" s="237"/>
      <c r="BM52" s="33" t="b">
        <f t="shared" si="3"/>
        <v>0</v>
      </c>
      <c r="BT52" s="33" t="str">
        <f t="shared" si="4"/>
        <v>Chain Colour</v>
      </c>
      <c r="BY52" s="33" t="b">
        <f t="shared" si="5"/>
        <v>0</v>
      </c>
      <c r="CQ52" s="247" t="str">
        <f t="shared" si="7"/>
        <v>Fabric Insert Option</v>
      </c>
      <c r="DI52" s="329" t="e">
        <f t="shared" si="10"/>
        <v>#N/A</v>
      </c>
      <c r="DJ52" s="329" t="e">
        <f t="shared" si="11"/>
        <v>#N/A</v>
      </c>
      <c r="DK52" s="329" t="e">
        <f t="shared" si="12"/>
        <v>#N/A</v>
      </c>
      <c r="DR52" s="247" t="str">
        <f t="shared" si="13"/>
        <v>Vertical Extension Bracket Option NA</v>
      </c>
      <c r="DU52" s="330" t="str">
        <f t="shared" si="14"/>
        <v>Other Bottom Rail Colour</v>
      </c>
      <c r="DY52" s="330" t="b">
        <f t="shared" si="15"/>
        <v>0</v>
      </c>
    </row>
    <row r="53" spans="1:129" ht="30" customHeight="1">
      <c r="A53" s="53">
        <v>46</v>
      </c>
      <c r="B53" s="13"/>
      <c r="C53" s="13"/>
      <c r="D53" s="19"/>
      <c r="E53" s="13"/>
      <c r="F53" s="15"/>
      <c r="G53" s="10"/>
      <c r="H53" s="10"/>
      <c r="I53" s="14"/>
      <c r="J53" s="14"/>
      <c r="K53" s="296"/>
      <c r="L53" s="15"/>
      <c r="M53" s="15"/>
      <c r="N53" s="118"/>
      <c r="O53" s="13"/>
      <c r="P53" s="13"/>
      <c r="Q53" s="13"/>
      <c r="R53" s="13"/>
      <c r="S53" s="267" t="str">
        <f t="shared" si="17"/>
        <v/>
      </c>
      <c r="T53" s="186"/>
      <c r="U53" s="236"/>
      <c r="V53" s="237"/>
      <c r="BM53" s="33" t="b">
        <f t="shared" si="3"/>
        <v>0</v>
      </c>
      <c r="BT53" s="33" t="str">
        <f t="shared" si="4"/>
        <v>Chain Colour</v>
      </c>
      <c r="BY53" s="33" t="b">
        <f t="shared" si="5"/>
        <v>0</v>
      </c>
      <c r="CQ53" s="247" t="str">
        <f t="shared" si="7"/>
        <v>Fabric Insert Option</v>
      </c>
      <c r="DI53" s="329" t="e">
        <f t="shared" si="10"/>
        <v>#N/A</v>
      </c>
      <c r="DJ53" s="329" t="e">
        <f t="shared" si="11"/>
        <v>#N/A</v>
      </c>
      <c r="DK53" s="329" t="e">
        <f t="shared" si="12"/>
        <v>#N/A</v>
      </c>
      <c r="DR53" s="247" t="str">
        <f t="shared" si="13"/>
        <v>Vertical Extension Bracket Option NA</v>
      </c>
      <c r="DU53" s="330" t="str">
        <f t="shared" si="14"/>
        <v>Other Bottom Rail Colour</v>
      </c>
      <c r="DY53" s="330" t="b">
        <f t="shared" si="15"/>
        <v>0</v>
      </c>
    </row>
    <row r="54" spans="1:129" ht="30" customHeight="1">
      <c r="A54" s="53">
        <v>47</v>
      </c>
      <c r="B54" s="13"/>
      <c r="C54" s="13"/>
      <c r="D54" s="19"/>
      <c r="E54" s="13"/>
      <c r="F54" s="15"/>
      <c r="G54" s="10"/>
      <c r="H54" s="10"/>
      <c r="I54" s="14"/>
      <c r="J54" s="14"/>
      <c r="K54" s="296"/>
      <c r="L54" s="15"/>
      <c r="M54" s="15"/>
      <c r="N54" s="118"/>
      <c r="O54" s="13"/>
      <c r="P54" s="13"/>
      <c r="Q54" s="13"/>
      <c r="R54" s="13"/>
      <c r="S54" s="267" t="str">
        <f t="shared" si="17"/>
        <v/>
      </c>
      <c r="T54" s="186"/>
      <c r="U54" s="236"/>
      <c r="V54" s="237"/>
      <c r="BM54" s="33" t="b">
        <f t="shared" si="3"/>
        <v>0</v>
      </c>
      <c r="BT54" s="33" t="str">
        <f t="shared" si="4"/>
        <v>Chain Colour</v>
      </c>
      <c r="BY54" s="33" t="b">
        <f t="shared" si="5"/>
        <v>0</v>
      </c>
      <c r="CQ54" s="247" t="str">
        <f t="shared" si="7"/>
        <v>Fabric Insert Option</v>
      </c>
      <c r="DI54" s="329" t="e">
        <f t="shared" si="10"/>
        <v>#N/A</v>
      </c>
      <c r="DJ54" s="329" t="e">
        <f t="shared" si="11"/>
        <v>#N/A</v>
      </c>
      <c r="DK54" s="329" t="e">
        <f t="shared" si="12"/>
        <v>#N/A</v>
      </c>
      <c r="DR54" s="247" t="str">
        <f t="shared" si="13"/>
        <v>Vertical Extension Bracket Option NA</v>
      </c>
      <c r="DU54" s="330" t="str">
        <f t="shared" si="14"/>
        <v>Other Bottom Rail Colour</v>
      </c>
      <c r="DY54" s="330" t="b">
        <f t="shared" si="15"/>
        <v>0</v>
      </c>
    </row>
    <row r="55" spans="1:129" ht="30" customHeight="1">
      <c r="A55" s="53">
        <v>48</v>
      </c>
      <c r="B55" s="13"/>
      <c r="C55" s="13"/>
      <c r="D55" s="19"/>
      <c r="E55" s="13"/>
      <c r="F55" s="15"/>
      <c r="G55" s="10"/>
      <c r="H55" s="10"/>
      <c r="I55" s="14"/>
      <c r="J55" s="14"/>
      <c r="K55" s="296"/>
      <c r="L55" s="15"/>
      <c r="M55" s="15"/>
      <c r="N55" s="118"/>
      <c r="O55" s="13"/>
      <c r="P55" s="13"/>
      <c r="Q55" s="13"/>
      <c r="R55" s="13"/>
      <c r="S55" s="267" t="str">
        <f t="shared" si="17"/>
        <v/>
      </c>
      <c r="T55" s="186"/>
      <c r="U55" s="236"/>
      <c r="V55" s="237"/>
      <c r="BM55" s="33" t="b">
        <f t="shared" si="3"/>
        <v>0</v>
      </c>
      <c r="BT55" s="33" t="str">
        <f t="shared" si="4"/>
        <v>Chain Colour</v>
      </c>
      <c r="BY55" s="33" t="b">
        <f t="shared" si="5"/>
        <v>0</v>
      </c>
      <c r="CQ55" s="247" t="str">
        <f t="shared" si="7"/>
        <v>Fabric Insert Option</v>
      </c>
      <c r="DI55" s="329" t="e">
        <f t="shared" si="10"/>
        <v>#N/A</v>
      </c>
      <c r="DJ55" s="329" t="e">
        <f t="shared" si="11"/>
        <v>#N/A</v>
      </c>
      <c r="DK55" s="329" t="e">
        <f t="shared" si="12"/>
        <v>#N/A</v>
      </c>
      <c r="DR55" s="247" t="str">
        <f t="shared" si="13"/>
        <v>Vertical Extension Bracket Option NA</v>
      </c>
      <c r="DU55" s="330" t="str">
        <f t="shared" si="14"/>
        <v>Other Bottom Rail Colour</v>
      </c>
      <c r="DY55" s="330" t="b">
        <f t="shared" si="15"/>
        <v>0</v>
      </c>
    </row>
    <row r="56" spans="1:129" ht="30" customHeight="1">
      <c r="A56" s="53">
        <v>49</v>
      </c>
      <c r="B56" s="13"/>
      <c r="C56" s="13"/>
      <c r="D56" s="19"/>
      <c r="E56" s="13"/>
      <c r="F56" s="15"/>
      <c r="G56" s="10"/>
      <c r="H56" s="10"/>
      <c r="I56" s="14"/>
      <c r="J56" s="14"/>
      <c r="K56" s="296"/>
      <c r="L56" s="15"/>
      <c r="M56" s="15"/>
      <c r="N56" s="118"/>
      <c r="O56" s="13"/>
      <c r="P56" s="13"/>
      <c r="Q56" s="13"/>
      <c r="R56" s="13"/>
      <c r="S56" s="267" t="str">
        <f t="shared" si="17"/>
        <v/>
      </c>
      <c r="T56" s="186"/>
      <c r="U56" s="236"/>
      <c r="V56" s="237"/>
      <c r="BM56" s="33" t="b">
        <f t="shared" si="3"/>
        <v>0</v>
      </c>
      <c r="BT56" s="33" t="str">
        <f t="shared" si="4"/>
        <v>Chain Colour</v>
      </c>
      <c r="BY56" s="33" t="b">
        <f t="shared" si="5"/>
        <v>0</v>
      </c>
      <c r="CQ56" s="247" t="str">
        <f t="shared" si="7"/>
        <v>Fabric Insert Option</v>
      </c>
      <c r="DI56" s="329" t="e">
        <f t="shared" si="10"/>
        <v>#N/A</v>
      </c>
      <c r="DJ56" s="329" t="e">
        <f t="shared" si="11"/>
        <v>#N/A</v>
      </c>
      <c r="DK56" s="329" t="e">
        <f t="shared" si="12"/>
        <v>#N/A</v>
      </c>
      <c r="DR56" s="247" t="str">
        <f t="shared" si="13"/>
        <v>Vertical Extension Bracket Option NA</v>
      </c>
      <c r="DU56" s="330" t="str">
        <f t="shared" si="14"/>
        <v>Other Bottom Rail Colour</v>
      </c>
      <c r="DY56" s="330" t="b">
        <f t="shared" si="15"/>
        <v>0</v>
      </c>
    </row>
    <row r="57" spans="1:129" ht="30" customHeight="1" thickBot="1">
      <c r="A57" s="54">
        <v>50</v>
      </c>
      <c r="B57" s="21"/>
      <c r="C57" s="21"/>
      <c r="D57" s="45"/>
      <c r="E57" s="21"/>
      <c r="F57" s="44"/>
      <c r="G57" s="46"/>
      <c r="H57" s="46"/>
      <c r="I57" s="22"/>
      <c r="J57" s="46"/>
      <c r="K57" s="301"/>
      <c r="L57" s="47"/>
      <c r="M57" s="44"/>
      <c r="N57" s="117"/>
      <c r="O57" s="21"/>
      <c r="P57" s="21"/>
      <c r="Q57" s="21"/>
      <c r="R57" s="21"/>
      <c r="S57" s="268" t="str">
        <f t="shared" si="17"/>
        <v/>
      </c>
      <c r="T57" s="187"/>
      <c r="U57" s="236"/>
      <c r="V57" s="237"/>
      <c r="BM57" s="33" t="b">
        <f t="shared" si="3"/>
        <v>0</v>
      </c>
      <c r="BT57" s="33" t="str">
        <f t="shared" si="4"/>
        <v>Chain Colour</v>
      </c>
      <c r="BY57" s="33" t="b">
        <f t="shared" si="5"/>
        <v>0</v>
      </c>
      <c r="CQ57" s="247" t="str">
        <f t="shared" si="7"/>
        <v>Fabric Insert Option</v>
      </c>
      <c r="DI57" s="329" t="e">
        <f t="shared" si="10"/>
        <v>#N/A</v>
      </c>
      <c r="DJ57" s="329" t="e">
        <f t="shared" si="11"/>
        <v>#N/A</v>
      </c>
      <c r="DK57" s="329" t="e">
        <f t="shared" si="12"/>
        <v>#N/A</v>
      </c>
      <c r="DR57" s="247" t="str">
        <f t="shared" si="13"/>
        <v>Vertical Extension Bracket Option NA</v>
      </c>
      <c r="DU57" s="330" t="str">
        <f t="shared" si="14"/>
        <v>Other Bottom Rail Colour</v>
      </c>
      <c r="DY57" s="330" t="b">
        <f t="shared" si="15"/>
        <v>0</v>
      </c>
    </row>
    <row r="58" spans="1:129" ht="15.75" thickTop="1">
      <c r="A58" s="79"/>
    </row>
  </sheetData>
  <mergeCells count="17">
    <mergeCell ref="A6:I6"/>
    <mergeCell ref="K6:L6"/>
    <mergeCell ref="M6:T6"/>
    <mergeCell ref="A4:C4"/>
    <mergeCell ref="D4:E4"/>
    <mergeCell ref="G4:I4"/>
    <mergeCell ref="K4:L4"/>
    <mergeCell ref="M4:T4"/>
    <mergeCell ref="K5:L5"/>
    <mergeCell ref="M5:T5"/>
    <mergeCell ref="K3:L3"/>
    <mergeCell ref="M3:T3"/>
    <mergeCell ref="K1:L1"/>
    <mergeCell ref="M1:T1"/>
    <mergeCell ref="F2:I2"/>
    <mergeCell ref="K2:L2"/>
    <mergeCell ref="M2:T2"/>
  </mergeCells>
  <conditionalFormatting sqref="P8:P57">
    <cfRule type="containsText" dxfId="99" priority="3" stopIfTrue="1" operator="containsText" text="Stainless Steel">
      <formula>NOT(ISERROR(SEARCH("Stainless Steel",P8)))</formula>
    </cfRule>
  </conditionalFormatting>
  <conditionalFormatting sqref="C8:C57">
    <cfRule type="cellIs" dxfId="98" priority="2" stopIfTrue="1" operator="greaterThan">
      <formula>1</formula>
    </cfRule>
  </conditionalFormatting>
  <conditionalFormatting sqref="I8:I57">
    <cfRule type="containsText" dxfId="97" priority="1" operator="containsText" text="Side By Side">
      <formula>NOT(ISERROR(SEARCH("Side By Side",I8)))</formula>
    </cfRule>
  </conditionalFormatting>
  <dataValidations count="18">
    <dataValidation type="list" allowBlank="1" showInputMessage="1" showErrorMessage="1" errorTitle="Invalid Entry" error="Invalid Entry" sqref="R8:R57" xr:uid="{00000000-0002-0000-0800-000000000000}">
      <formula1>INDIRECT(SUBSTITUTE(DY8," ","_"))</formula1>
    </dataValidation>
    <dataValidation type="list" allowBlank="1" showInputMessage="1" showErrorMessage="1" errorTitle="Invalid Entry" error="Invalid Entry" sqref="M8:M57" xr:uid="{00000000-0002-0000-0800-000001000000}">
      <formula1>INDIRECT(SUBSTITUTE(DU8," ","_"))</formula1>
    </dataValidation>
    <dataValidation type="list" allowBlank="1" showInputMessage="1" showErrorMessage="1" errorTitle="Invalid Entry" error="Invalid Entry" sqref="J8:J57" xr:uid="{00000000-0002-0000-0800-000002000000}">
      <formula1>"Face Fit, Recess Fit"</formula1>
    </dataValidation>
    <dataValidation type="list" allowBlank="1" showInputMessage="1" showErrorMessage="1" errorTitle="Invalid Entry" error="Invalid Entry" sqref="K8:K57" xr:uid="{00000000-0002-0000-0800-000003000000}">
      <formula1>"ACT, NAM"</formula1>
    </dataValidation>
    <dataValidation type="list" allowBlank="1" showInputMessage="1" showErrorMessage="1" errorTitle="Invalid Entry" error="Invalid Entry" sqref="I8:I57" xr:uid="{00000000-0002-0000-0800-000004000000}">
      <formula1>"Standard, Side By Side"</formula1>
    </dataValidation>
    <dataValidation type="list" allowBlank="1" showInputMessage="1" showErrorMessage="1" errorTitle="Invalid Entry" error="Invalid Entry" sqref="D8:D57" xr:uid="{00000000-0002-0000-0800-000005000000}">
      <formula1>Transition_Range_Blinds_Product_Type</formula1>
    </dataValidation>
    <dataValidation type="whole" errorStyle="warning" allowBlank="1" showInputMessage="1" showErrorMessage="1" errorTitle="Be Aware" error="Minimum Width is 300mm._x000a__x000a_Maximum Widths for Multi Shade Standard &amp; Multi Shade Textured is 2600mm._x000a__x000a_Maximum Width for all other options is 2800mm. _x000a__x000a_All openings over the Maximum Widths will require Multiple Blinds." sqref="G8:G57" xr:uid="{00000000-0002-0000-0800-000006000000}">
      <formula1>300</formula1>
      <formula2>2800</formula2>
    </dataValidation>
    <dataValidation type="whole" errorStyle="warning" allowBlank="1" showInputMessage="1" showErrorMessage="1" errorTitle="Be Aware" error="Minimum Height/Drop is 300mm._x000a__x000a_For the Multi Shade, Roman Shade &amp; Triple Shade options the maximum Drop is 3000mm. _x000a_" sqref="H8:H57" xr:uid="{00000000-0002-0000-0800-000007000000}">
      <formula1>300</formula1>
      <formula2>3000</formula2>
    </dataValidation>
    <dataValidation type="list" allowBlank="1" showInputMessage="1" showErrorMessage="1" errorTitle="Invalid Entry" error="Invalid Entry" sqref="L8:L57" xr:uid="{00000000-0002-0000-0800-000008000000}">
      <formula1>Head_Box_Colour</formula1>
    </dataValidation>
    <dataValidation type="list" allowBlank="1" showInputMessage="1" showErrorMessage="1" errorTitle="Invalid Entry" error="Invalid Entry" sqref="O8:O57" xr:uid="{00000000-0002-0000-0800-000009000000}">
      <formula1>Chain_Cord_Length</formula1>
    </dataValidation>
    <dataValidation type="list" allowBlank="1" showInputMessage="1" showErrorMessage="1" errorTitle="Invalid Entry" error="Invalid Entry" sqref="N8:N57" xr:uid="{00000000-0002-0000-0800-00000A000000}">
      <formula1>"Left, Right"</formula1>
    </dataValidation>
    <dataValidation type="list" allowBlank="1" showInputMessage="1" showErrorMessage="1" errorTitle="Invalid Entry" error="Invalid Entry" sqref="P8:P57" xr:uid="{00000000-0002-0000-0800-00000B000000}">
      <formula1>Chain_Colour</formula1>
    </dataValidation>
    <dataValidation type="list" allowBlank="1" showInputMessage="1" showErrorMessage="1" errorTitle="Invalid Entry" error="Invalid Entry" sqref="F8:F57" xr:uid="{00000000-0002-0000-0800-00000C000000}">
      <formula1>INDIRECT(SUBSTITUTE(SUBSTITUTE(SUBSTITUTE(DK8," ","_"),"(",""),")",""))</formula1>
    </dataValidation>
    <dataValidation errorStyle="information" allowBlank="1" sqref="S8:S57" xr:uid="{00000000-0002-0000-0800-00000D000000}"/>
    <dataValidation allowBlank="1" showInputMessage="1" errorTitle="Invalid Enrty" error="Please select from List!" sqref="T8:T57" xr:uid="{00000000-0002-0000-0800-00000E000000}"/>
    <dataValidation allowBlank="1" sqref="U1:V57" xr:uid="{00000000-0002-0000-0800-00000F000000}"/>
    <dataValidation type="list" allowBlank="1" showInputMessage="1" showErrorMessage="1" errorTitle="Invalid Entry" error="Invalid Entry" sqref="Q8:Q57" xr:uid="{00000000-0002-0000-0800-000010000000}">
      <formula1>INDIRECT(SUBSTITUTE(SUBSTITUTE(SUBSTITUTE(CQ8," ","_"),"(",""),")",""))</formula1>
    </dataValidation>
    <dataValidation type="list" allowBlank="1" showInputMessage="1" showErrorMessage="1" errorTitle="Invalid Entry" error="Invalid Entry" sqref="E8:E57" xr:uid="{00000000-0002-0000-0800-000011000000}">
      <formula1>INDIRECT(SUBSTITUTE(SUBSTITUTE(SUBSTITUTE(BY8," ","_"),"(",""),")",""))</formula1>
    </dataValidation>
  </dataValidations>
  <printOptions horizontalCentered="1"/>
  <pageMargins left="0.23622047244094491" right="0.23622047244094491" top="0.23622047244094491" bottom="0.23622047244094491" header="0.19685039370078741" footer="0.19685039370078741"/>
  <pageSetup paperSize="9" scale="34"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7030A0"/>
    <pageSetUpPr fitToPage="1"/>
  </sheetPr>
  <dimension ref="A1:GZ53"/>
  <sheetViews>
    <sheetView view="pageBreakPreview" zoomScale="85" zoomScaleNormal="85" zoomScaleSheetLayoutView="85" workbookViewId="0">
      <selection activeCell="N1" sqref="N1:AA1"/>
    </sheetView>
  </sheetViews>
  <sheetFormatPr defaultRowHeight="15"/>
  <cols>
    <col min="1" max="1" width="6" style="55" customWidth="1"/>
    <col min="2" max="2" width="17.140625" style="55" customWidth="1"/>
    <col min="3" max="3" width="13" style="55" customWidth="1"/>
    <col min="4" max="4" width="12.42578125" style="55" customWidth="1"/>
    <col min="5" max="5" width="8.140625" style="55" customWidth="1"/>
    <col min="6" max="6" width="8.85546875" style="55" customWidth="1"/>
    <col min="7" max="7" width="20.140625" style="55" customWidth="1"/>
    <col min="8" max="8" width="18" style="55" customWidth="1"/>
    <col min="9" max="9" width="9.42578125" style="408" customWidth="1"/>
    <col min="10" max="10" width="11.28515625" style="55" customWidth="1"/>
    <col min="11" max="11" width="14.140625" style="55" customWidth="1"/>
    <col min="12" max="12" width="15.7109375" style="55" customWidth="1"/>
    <col min="13" max="13" width="15" style="55" customWidth="1"/>
    <col min="14" max="14" width="14" style="55" customWidth="1"/>
    <col min="15" max="16" width="17.42578125" style="55" customWidth="1"/>
    <col min="17" max="17" width="8.5703125" style="55" customWidth="1"/>
    <col min="18" max="18" width="16.42578125" style="55" customWidth="1"/>
    <col min="19" max="20" width="7.42578125" style="55" customWidth="1"/>
    <col min="21" max="21" width="7.7109375" style="55" customWidth="1"/>
    <col min="22" max="22" width="9.85546875" style="55" customWidth="1"/>
    <col min="23" max="23" width="11.42578125" style="55" customWidth="1"/>
    <col min="24" max="24" width="22" style="55" customWidth="1"/>
    <col min="25" max="25" width="8.85546875" style="55" customWidth="1"/>
    <col min="26" max="26" width="8.7109375" style="55" customWidth="1"/>
    <col min="27" max="27" width="7.7109375" style="55" customWidth="1"/>
    <col min="28" max="29" width="10.5703125" style="55" customWidth="1"/>
    <col min="30" max="30" width="14.7109375" style="55" customWidth="1"/>
    <col min="31" max="31" width="10.28515625" style="55" customWidth="1"/>
    <col min="32" max="32" width="14.42578125" style="55" customWidth="1"/>
    <col min="33" max="33" width="37.85546875" style="55" customWidth="1"/>
    <col min="34" max="34" width="9" style="82" hidden="1" customWidth="1"/>
    <col min="35" max="36" width="27.7109375" style="55" hidden="1" customWidth="1"/>
    <col min="37" max="37" width="16.42578125" style="55" hidden="1" customWidth="1"/>
    <col min="38" max="40" width="9" style="55" hidden="1" customWidth="1"/>
    <col min="41" max="41" width="44.140625" style="55" hidden="1" customWidth="1"/>
    <col min="42" max="42" width="30.5703125" style="55" hidden="1" customWidth="1"/>
    <col min="43" max="47" width="9" style="55" hidden="1" customWidth="1"/>
    <col min="48" max="48" width="9.5703125" style="55" customWidth="1"/>
    <col min="49" max="49" width="11.42578125" style="66" hidden="1" customWidth="1"/>
    <col min="50" max="50" width="9.140625" style="66" hidden="1" customWidth="1"/>
    <col min="51" max="51" width="18.28515625" style="66" hidden="1" customWidth="1"/>
    <col min="52" max="52" width="19.28515625" style="66" hidden="1" customWidth="1"/>
    <col min="53" max="53" width="52" style="66" hidden="1" customWidth="1"/>
    <col min="54" max="54" width="35.5703125" style="191" hidden="1" customWidth="1"/>
    <col min="55" max="55" width="26.140625" style="66" hidden="1" customWidth="1"/>
    <col min="56" max="56" width="15.42578125" style="191" hidden="1" customWidth="1"/>
    <col min="57" max="57" width="15.42578125" style="66" hidden="1" customWidth="1"/>
    <col min="58" max="58" width="54.42578125" style="191" hidden="1" customWidth="1"/>
    <col min="59" max="59" width="15.42578125" style="66" hidden="1" customWidth="1"/>
    <col min="60" max="60" width="15.7109375" style="66" hidden="1" customWidth="1"/>
    <col min="61" max="61" width="15.5703125" style="66" hidden="1" customWidth="1"/>
    <col min="62" max="62" width="22.140625" style="191" hidden="1" customWidth="1"/>
    <col min="63" max="63" width="19.7109375" style="192" hidden="1" customWidth="1"/>
    <col min="64" max="67" width="15.140625" style="66" hidden="1" customWidth="1"/>
    <col min="68" max="68" width="18.5703125" style="66" hidden="1" customWidth="1"/>
    <col min="69" max="69" width="20.5703125" style="66" hidden="1" customWidth="1"/>
    <col min="70" max="70" width="16.42578125" style="66" hidden="1" customWidth="1"/>
    <col min="71" max="71" width="14.28515625" style="66" hidden="1" customWidth="1"/>
    <col min="72" max="72" width="15.7109375" style="66" hidden="1" customWidth="1"/>
    <col min="73" max="73" width="12.140625" style="55" hidden="1" customWidth="1"/>
    <col min="74" max="74" width="20.28515625" style="191" hidden="1" customWidth="1"/>
    <col min="75" max="75" width="21.140625" style="191" hidden="1" customWidth="1"/>
    <col min="76" max="77" width="12.140625" style="55" hidden="1" customWidth="1"/>
    <col min="78" max="78" width="12.140625" style="66" hidden="1" customWidth="1"/>
    <col min="79" max="79" width="32.42578125" style="191" hidden="1" customWidth="1"/>
    <col min="80" max="80" width="29.5703125" style="66" hidden="1" customWidth="1"/>
    <col min="81" max="81" width="26" style="66" hidden="1" customWidth="1"/>
    <col min="82" max="82" width="26.28515625" style="66" hidden="1" customWidth="1"/>
    <col min="83" max="83" width="19.42578125" style="66" hidden="1" customWidth="1"/>
    <col min="84" max="84" width="30.42578125" style="191" hidden="1" customWidth="1"/>
    <col min="85" max="85" width="33" style="191" hidden="1" customWidth="1"/>
    <col min="86" max="86" width="21.7109375" style="66" hidden="1" customWidth="1"/>
    <col min="87" max="87" width="24" style="66" hidden="1" customWidth="1"/>
    <col min="88" max="88" width="27.42578125" style="191" hidden="1" customWidth="1"/>
    <col min="89" max="89" width="21.85546875" style="191" hidden="1" customWidth="1"/>
    <col min="90" max="90" width="19.42578125" style="191" hidden="1" customWidth="1"/>
    <col min="91" max="92" width="35.85546875" style="55" hidden="1" customWidth="1"/>
    <col min="93" max="93" width="43.7109375" style="55" hidden="1" customWidth="1"/>
    <col min="94" max="94" width="28.42578125" style="365" hidden="1" customWidth="1"/>
    <col min="95" max="95" width="16.140625" style="191" hidden="1" customWidth="1"/>
    <col min="96" max="96" width="21.5703125" style="191" hidden="1" customWidth="1"/>
    <col min="97" max="97" width="20.7109375" style="191" hidden="1" customWidth="1"/>
    <col min="98" max="98" width="15.85546875" style="191" hidden="1" customWidth="1"/>
    <col min="99" max="100" width="23.5703125" style="192" hidden="1" customWidth="1"/>
    <col min="101" max="101" width="27.5703125" style="191" hidden="1" customWidth="1"/>
    <col min="102" max="102" width="27.5703125" style="66" hidden="1" customWidth="1"/>
    <col min="103" max="104" width="27.5703125" style="191" hidden="1" customWidth="1"/>
    <col min="105" max="105" width="27.85546875" style="66" hidden="1" customWidth="1"/>
    <col min="106" max="106" width="25.7109375" style="55" hidden="1" customWidth="1"/>
    <col min="107" max="107" width="32.85546875" style="66" hidden="1" customWidth="1"/>
    <col min="108" max="108" width="35.42578125" style="55" hidden="1" customWidth="1"/>
    <col min="109" max="109" width="28" style="55" hidden="1" customWidth="1"/>
    <col min="110" max="110" width="32.140625" style="55" hidden="1" customWidth="1"/>
    <col min="111" max="111" width="38" style="55" hidden="1" customWidth="1"/>
    <col min="112" max="112" width="36.85546875" style="191" hidden="1" customWidth="1"/>
    <col min="113" max="113" width="24.42578125" style="55" hidden="1" customWidth="1"/>
    <col min="114" max="114" width="9.140625" style="55" hidden="1" customWidth="1"/>
    <col min="115" max="115" width="29.85546875" style="223" hidden="1" customWidth="1"/>
    <col min="116" max="116" width="31.85546875" style="55" hidden="1" customWidth="1"/>
    <col min="117" max="117" width="62" style="55" hidden="1" customWidth="1"/>
    <col min="118" max="120" width="37.42578125" style="192" hidden="1" customWidth="1"/>
    <col min="121" max="121" width="9.140625" style="55" hidden="1" customWidth="1"/>
    <col min="122" max="122" width="27.42578125" style="66" hidden="1" customWidth="1"/>
    <col min="123" max="123" width="22" style="66" hidden="1" customWidth="1"/>
    <col min="124" max="124" width="20.42578125" style="66" hidden="1" customWidth="1"/>
    <col min="125" max="126" width="21.7109375" style="66" hidden="1" customWidth="1"/>
    <col min="127" max="127" width="19.5703125" style="66" hidden="1" customWidth="1"/>
    <col min="128" max="130" width="29.28515625" style="66" hidden="1" customWidth="1"/>
    <col min="131" max="131" width="33.28515625" style="66" hidden="1" customWidth="1"/>
    <col min="132" max="132" width="42.28515625" style="55" hidden="1" customWidth="1"/>
    <col min="133" max="135" width="19.5703125" style="191" hidden="1" customWidth="1"/>
    <col min="136" max="136" width="19.7109375" style="55" hidden="1" customWidth="1"/>
    <col min="137" max="137" width="39" style="55" hidden="1" customWidth="1"/>
    <col min="138" max="138" width="7.5703125" style="55" hidden="1" customWidth="1"/>
    <col min="139" max="139" width="17.42578125" style="55" hidden="1" customWidth="1"/>
    <col min="140" max="142" width="24.42578125" style="55" hidden="1" customWidth="1"/>
    <col min="143" max="143" width="32.42578125" style="55" hidden="1" customWidth="1"/>
    <col min="144" max="147" width="34.85546875" style="55" hidden="1" customWidth="1"/>
    <col min="148" max="149" width="19.42578125" style="55" hidden="1" customWidth="1"/>
    <col min="150" max="152" width="22.42578125" style="55" hidden="1" customWidth="1"/>
    <col min="153" max="155" width="25.5703125" style="55" hidden="1" customWidth="1"/>
    <col min="156" max="156" width="29.140625" style="55" hidden="1" customWidth="1"/>
    <col min="157" max="157" width="25.5703125" style="55" hidden="1" customWidth="1"/>
    <col min="158" max="162" width="19.42578125" style="55" hidden="1" customWidth="1"/>
    <col min="163" max="163" width="26.85546875" style="55" hidden="1" customWidth="1"/>
    <col min="164" max="164" width="19" style="55" hidden="1" customWidth="1"/>
    <col min="165" max="165" width="15.140625" style="55" hidden="1" customWidth="1"/>
    <col min="166" max="166" width="20.7109375" style="55" hidden="1" customWidth="1"/>
    <col min="167" max="167" width="40.7109375" style="55" hidden="1" customWidth="1"/>
    <col min="168" max="170" width="20.5703125" style="55" hidden="1" customWidth="1"/>
    <col min="171" max="171" width="40.7109375" style="55" hidden="1" customWidth="1"/>
    <col min="172" max="174" width="26.140625" style="55" hidden="1" customWidth="1"/>
    <col min="175" max="176" width="20" style="55" hidden="1" customWidth="1"/>
    <col min="177" max="177" width="33.140625" style="55" hidden="1" customWidth="1"/>
    <col min="178" max="179" width="21.85546875" style="55" hidden="1" customWidth="1"/>
    <col min="180" max="180" width="33.140625" style="55" hidden="1" customWidth="1"/>
    <col min="181" max="182" width="26.28515625" style="55" hidden="1" customWidth="1"/>
    <col min="183" max="183" width="40.42578125" style="55" hidden="1" customWidth="1"/>
    <col min="184" max="185" width="26.28515625" style="55" hidden="1" customWidth="1"/>
    <col min="186" max="186" width="40.42578125" style="55" hidden="1" customWidth="1"/>
    <col min="187" max="187" width="29.85546875" style="55" hidden="1" customWidth="1"/>
    <col min="188" max="190" width="45.140625" style="55" hidden="1" customWidth="1"/>
    <col min="191" max="191" width="20" style="55" hidden="1" customWidth="1"/>
    <col min="192" max="193" width="12.5703125" style="55" hidden="1" customWidth="1"/>
    <col min="194" max="194" width="29" style="55" hidden="1" customWidth="1"/>
    <col min="195" max="195" width="10.5703125" style="55" hidden="1" customWidth="1"/>
    <col min="196" max="196" width="26.85546875" style="55" hidden="1" customWidth="1"/>
    <col min="197" max="198" width="9.140625" style="55" hidden="1" customWidth="1"/>
    <col min="199" max="199" width="67.28515625" style="55" hidden="1" customWidth="1"/>
    <col min="200" max="208" width="9.140625" style="55" hidden="1" customWidth="1"/>
    <col min="209" max="221" width="9.140625" style="55" customWidth="1"/>
    <col min="222" max="16384" width="9.140625" style="55"/>
  </cols>
  <sheetData>
    <row r="1" spans="1:199" ht="27" customHeight="1">
      <c r="A1" s="698"/>
      <c r="B1" s="698"/>
      <c r="C1" s="698"/>
      <c r="D1" s="698"/>
      <c r="E1" s="698"/>
      <c r="F1" s="698"/>
      <c r="G1" s="698"/>
      <c r="H1" s="694" t="s">
        <v>176</v>
      </c>
      <c r="I1" s="694"/>
      <c r="J1" s="695"/>
      <c r="K1" s="59"/>
      <c r="L1" s="553" t="s">
        <v>0</v>
      </c>
      <c r="M1" s="615"/>
      <c r="N1" s="616"/>
      <c r="O1" s="616"/>
      <c r="P1" s="616"/>
      <c r="Q1" s="616"/>
      <c r="R1" s="616"/>
      <c r="S1" s="616"/>
      <c r="T1" s="616"/>
      <c r="U1" s="616"/>
      <c r="V1" s="616"/>
      <c r="W1" s="616"/>
      <c r="X1" s="616"/>
      <c r="Y1" s="616"/>
      <c r="Z1" s="616"/>
      <c r="AA1" s="616"/>
      <c r="AB1" s="621" t="s">
        <v>1867</v>
      </c>
      <c r="AC1" s="622"/>
      <c r="AD1" s="393" t="s">
        <v>1997</v>
      </c>
      <c r="AE1" s="278">
        <f>$GJ$12</f>
        <v>0</v>
      </c>
      <c r="AF1" s="614"/>
      <c r="AG1" s="613"/>
      <c r="AH1" s="55"/>
    </row>
    <row r="2" spans="1:199" ht="21" customHeight="1">
      <c r="A2" s="699"/>
      <c r="B2" s="699"/>
      <c r="C2" s="699"/>
      <c r="D2" s="699"/>
      <c r="E2" s="699"/>
      <c r="F2" s="699"/>
      <c r="G2" s="699"/>
      <c r="H2" s="696"/>
      <c r="I2" s="696"/>
      <c r="J2" s="697"/>
      <c r="K2" s="61"/>
      <c r="L2" s="553" t="s">
        <v>141</v>
      </c>
      <c r="M2" s="615"/>
      <c r="N2" s="617"/>
      <c r="O2" s="617"/>
      <c r="P2" s="617"/>
      <c r="Q2" s="617"/>
      <c r="R2" s="617"/>
      <c r="S2" s="617"/>
      <c r="T2" s="617"/>
      <c r="U2" s="617"/>
      <c r="V2" s="617"/>
      <c r="W2" s="617"/>
      <c r="X2" s="617"/>
      <c r="Y2" s="617"/>
      <c r="Z2" s="617"/>
      <c r="AA2" s="617"/>
      <c r="AB2" s="623" t="s">
        <v>1866</v>
      </c>
      <c r="AC2" s="623"/>
      <c r="AD2" s="620">
        <f>AD3+'Shutters Page 2'!AD3</f>
        <v>0</v>
      </c>
      <c r="AE2" s="620"/>
      <c r="AF2" s="461"/>
      <c r="AG2" s="613"/>
      <c r="AP2" s="55" t="s">
        <v>309</v>
      </c>
    </row>
    <row r="3" spans="1:199" ht="21" customHeight="1">
      <c r="A3" s="691" t="s">
        <v>1827</v>
      </c>
      <c r="B3" s="692"/>
      <c r="C3" s="692"/>
      <c r="D3" s="692"/>
      <c r="E3" s="693"/>
      <c r="F3" s="688" t="s">
        <v>995</v>
      </c>
      <c r="G3" s="689"/>
      <c r="H3" s="689"/>
      <c r="I3" s="689"/>
      <c r="J3" s="690"/>
      <c r="K3" s="59"/>
      <c r="L3" s="553" t="s">
        <v>142</v>
      </c>
      <c r="M3" s="615"/>
      <c r="N3" s="629"/>
      <c r="O3" s="630"/>
      <c r="P3" s="629"/>
      <c r="Q3" s="629"/>
      <c r="R3" s="629"/>
      <c r="S3" s="629"/>
      <c r="T3" s="629"/>
      <c r="U3" s="629"/>
      <c r="V3" s="629"/>
      <c r="W3" s="629"/>
      <c r="X3" s="629"/>
      <c r="Y3" s="629"/>
      <c r="Z3" s="629"/>
      <c r="AA3" s="629"/>
      <c r="AB3" s="627" t="s">
        <v>160</v>
      </c>
      <c r="AC3" s="627"/>
      <c r="AD3" s="618">
        <f>SUM(AE9:AE23)</f>
        <v>0</v>
      </c>
      <c r="AE3" s="618"/>
      <c r="AF3" s="63"/>
      <c r="AG3" s="64"/>
      <c r="AP3" s="55" t="s">
        <v>2040</v>
      </c>
      <c r="AQ3" s="55" t="s">
        <v>2041</v>
      </c>
    </row>
    <row r="4" spans="1:199" ht="21" customHeight="1">
      <c r="A4" s="703" t="s">
        <v>457</v>
      </c>
      <c r="B4" s="704"/>
      <c r="C4" s="704"/>
      <c r="D4" s="704"/>
      <c r="E4" s="705"/>
      <c r="F4" s="703"/>
      <c r="G4" s="704"/>
      <c r="H4" s="704"/>
      <c r="I4" s="704"/>
      <c r="J4" s="705"/>
      <c r="K4" s="61"/>
      <c r="L4" s="553" t="s">
        <v>973</v>
      </c>
      <c r="M4" s="615"/>
      <c r="N4" s="563"/>
      <c r="O4" s="564"/>
      <c r="P4" s="564"/>
      <c r="Q4" s="564"/>
      <c r="R4" s="564"/>
      <c r="S4" s="564"/>
      <c r="T4" s="564"/>
      <c r="U4" s="564"/>
      <c r="V4" s="564"/>
      <c r="W4" s="564"/>
      <c r="X4" s="564"/>
      <c r="Y4" s="564"/>
      <c r="Z4" s="564"/>
      <c r="AA4" s="565"/>
      <c r="AB4" s="628" t="s">
        <v>589</v>
      </c>
      <c r="AC4" s="628"/>
      <c r="AD4" s="619">
        <f>SUM(F9:F23)</f>
        <v>0</v>
      </c>
      <c r="AE4" s="619"/>
      <c r="AF4" s="614"/>
      <c r="AG4" s="462"/>
      <c r="AI4" s="55" t="s">
        <v>308</v>
      </c>
      <c r="AJ4" s="55" t="s">
        <v>309</v>
      </c>
      <c r="AP4" s="55" t="s">
        <v>2038</v>
      </c>
      <c r="AQ4" s="55" t="s">
        <v>338</v>
      </c>
    </row>
    <row r="5" spans="1:199" ht="21" customHeight="1">
      <c r="A5" s="706"/>
      <c r="B5" s="707"/>
      <c r="C5" s="707"/>
      <c r="D5" s="707"/>
      <c r="E5" s="708"/>
      <c r="F5" s="706"/>
      <c r="G5" s="707"/>
      <c r="H5" s="707"/>
      <c r="I5" s="707"/>
      <c r="J5" s="708"/>
      <c r="K5" s="306" t="s">
        <v>1035</v>
      </c>
      <c r="L5" s="553" t="s">
        <v>143</v>
      </c>
      <c r="M5" s="615"/>
      <c r="N5" s="624"/>
      <c r="O5" s="624"/>
      <c r="P5" s="624"/>
      <c r="Q5" s="624"/>
      <c r="R5" s="624"/>
      <c r="S5" s="624"/>
      <c r="T5" s="624"/>
      <c r="U5" s="624"/>
      <c r="V5" s="624"/>
      <c r="W5" s="624"/>
      <c r="X5" s="624"/>
      <c r="Y5" s="624"/>
      <c r="Z5" s="624"/>
      <c r="AA5" s="624"/>
      <c r="AB5" s="625" t="s">
        <v>1944</v>
      </c>
      <c r="AC5" s="625"/>
      <c r="AD5" s="626">
        <f>AK24+'Shutters Page 2'!AK24</f>
        <v>0</v>
      </c>
      <c r="AE5" s="626"/>
      <c r="AF5" s="614"/>
      <c r="AG5" s="462"/>
      <c r="AP5" s="55" t="s">
        <v>2039</v>
      </c>
      <c r="GE5" s="55" t="s">
        <v>1862</v>
      </c>
      <c r="GF5" s="55" t="s">
        <v>313</v>
      </c>
      <c r="GG5" s="55" t="s">
        <v>1546</v>
      </c>
      <c r="GH5" s="55" t="s">
        <v>869</v>
      </c>
    </row>
    <row r="6" spans="1:199" ht="15" customHeight="1">
      <c r="A6" s="700" t="s">
        <v>961</v>
      </c>
      <c r="B6" s="701"/>
      <c r="C6" s="701"/>
      <c r="D6" s="701"/>
      <c r="E6" s="701"/>
      <c r="F6" s="701"/>
      <c r="G6" s="701"/>
      <c r="H6" s="701"/>
      <c r="I6" s="701"/>
      <c r="J6" s="702"/>
      <c r="K6" s="346">
        <v>41</v>
      </c>
      <c r="L6" s="680" t="s">
        <v>654</v>
      </c>
      <c r="M6" s="681"/>
      <c r="N6" s="674" t="str">
        <f>CO13</f>
        <v xml:space="preserve">         </v>
      </c>
      <c r="O6" s="675"/>
      <c r="P6" s="675"/>
      <c r="Q6" s="675"/>
      <c r="R6" s="675"/>
      <c r="S6" s="675"/>
      <c r="T6" s="675"/>
      <c r="U6" s="675"/>
      <c r="V6" s="675"/>
      <c r="W6" s="675"/>
      <c r="X6" s="675"/>
      <c r="Y6" s="675"/>
      <c r="Z6" s="676"/>
      <c r="AA6" s="677"/>
      <c r="AB6" s="660" t="s">
        <v>1803</v>
      </c>
      <c r="AC6" s="660"/>
      <c r="AD6" s="661" t="s">
        <v>1813</v>
      </c>
      <c r="AE6" s="661"/>
      <c r="GE6" s="55" t="s">
        <v>1863</v>
      </c>
      <c r="GQ6" s="55" t="s">
        <v>1783</v>
      </c>
    </row>
    <row r="7" spans="1:199" ht="15.75" thickBot="1">
      <c r="A7" s="132"/>
      <c r="B7" s="671" t="s">
        <v>725</v>
      </c>
      <c r="C7" s="672"/>
      <c r="D7" s="672"/>
      <c r="E7" s="672"/>
      <c r="F7" s="672"/>
      <c r="G7" s="672"/>
      <c r="H7" s="672"/>
      <c r="I7" s="672"/>
      <c r="J7" s="673"/>
      <c r="K7" s="153" t="s">
        <v>731</v>
      </c>
      <c r="L7" s="152"/>
      <c r="M7" s="671" t="s">
        <v>725</v>
      </c>
      <c r="N7" s="672"/>
      <c r="O7" s="672"/>
      <c r="P7" s="672"/>
      <c r="Q7" s="672"/>
      <c r="R7" s="672"/>
      <c r="S7" s="672"/>
      <c r="T7" s="672"/>
      <c r="U7" s="672"/>
      <c r="V7" s="672"/>
      <c r="W7" s="673"/>
      <c r="X7" s="557" t="s">
        <v>952</v>
      </c>
      <c r="Y7" s="558"/>
      <c r="Z7" s="511" t="str">
        <f>DM24</f>
        <v/>
      </c>
      <c r="AA7" s="512"/>
      <c r="AB7" s="678"/>
      <c r="AC7" s="679"/>
      <c r="DR7" s="174" t="s">
        <v>822</v>
      </c>
      <c r="DS7" s="174"/>
      <c r="DT7" s="174"/>
      <c r="DU7" s="174"/>
      <c r="DV7" s="174"/>
      <c r="DW7" s="174"/>
      <c r="EN7" s="55" t="s">
        <v>2039</v>
      </c>
      <c r="EW7" s="162"/>
      <c r="EX7" s="162"/>
      <c r="EY7" s="174" t="s">
        <v>22</v>
      </c>
      <c r="EZ7" s="162"/>
      <c r="FA7" s="280"/>
      <c r="FL7" s="714" t="s">
        <v>867</v>
      </c>
      <c r="FM7" s="714"/>
      <c r="FN7" s="714"/>
      <c r="GQ7" s="55" t="s">
        <v>1546</v>
      </c>
    </row>
    <row r="8" spans="1:199" ht="49.5" customHeight="1" thickTop="1" thickBot="1">
      <c r="A8" s="67" t="s">
        <v>144</v>
      </c>
      <c r="B8" s="133" t="s">
        <v>145</v>
      </c>
      <c r="C8" s="133" t="s">
        <v>146</v>
      </c>
      <c r="D8" s="134" t="s">
        <v>147</v>
      </c>
      <c r="E8" s="135" t="s">
        <v>206</v>
      </c>
      <c r="F8" s="135" t="s">
        <v>950</v>
      </c>
      <c r="G8" s="136" t="s">
        <v>873</v>
      </c>
      <c r="H8" s="710" t="s">
        <v>150</v>
      </c>
      <c r="I8" s="711"/>
      <c r="J8" s="134" t="s">
        <v>148</v>
      </c>
      <c r="K8" s="154" t="s">
        <v>787</v>
      </c>
      <c r="L8" s="77" t="s">
        <v>151</v>
      </c>
      <c r="M8" s="138" t="s">
        <v>14</v>
      </c>
      <c r="N8" s="139" t="s">
        <v>153</v>
      </c>
      <c r="O8" s="409" t="s">
        <v>2037</v>
      </c>
      <c r="P8" s="137" t="s">
        <v>152</v>
      </c>
      <c r="Q8" s="686" t="s">
        <v>155</v>
      </c>
      <c r="R8" s="687"/>
      <c r="S8" s="138" t="s">
        <v>361</v>
      </c>
      <c r="T8" s="139" t="s">
        <v>362</v>
      </c>
      <c r="U8" s="139" t="s">
        <v>363</v>
      </c>
      <c r="V8" s="139" t="s">
        <v>380</v>
      </c>
      <c r="W8" s="138" t="s">
        <v>159</v>
      </c>
      <c r="X8" s="68" t="s">
        <v>154</v>
      </c>
      <c r="Y8" s="68" t="s">
        <v>381</v>
      </c>
      <c r="Z8" s="68" t="s">
        <v>956</v>
      </c>
      <c r="AA8" s="68" t="s">
        <v>156</v>
      </c>
      <c r="AB8" s="68" t="s">
        <v>157</v>
      </c>
      <c r="AC8" s="68" t="s">
        <v>158</v>
      </c>
      <c r="AD8" s="68" t="s">
        <v>692</v>
      </c>
      <c r="AE8" s="167" t="s">
        <v>160</v>
      </c>
      <c r="AF8" s="238"/>
      <c r="AG8" s="238"/>
      <c r="AI8" s="55" t="s">
        <v>1966</v>
      </c>
      <c r="AJ8" s="55" t="s">
        <v>1967</v>
      </c>
      <c r="AK8" s="55" t="s">
        <v>1968</v>
      </c>
      <c r="AL8" s="55" t="s">
        <v>149</v>
      </c>
      <c r="AP8" s="55" t="s">
        <v>2040</v>
      </c>
      <c r="AV8" s="98" t="s">
        <v>455</v>
      </c>
      <c r="AW8" s="56" t="s">
        <v>967</v>
      </c>
      <c r="AX8" s="224" t="s">
        <v>964</v>
      </c>
      <c r="AY8" s="224" t="s">
        <v>965</v>
      </c>
      <c r="AZ8" s="174" t="s">
        <v>154</v>
      </c>
      <c r="BA8" s="359" t="s">
        <v>339</v>
      </c>
      <c r="BB8" s="360" t="s">
        <v>382</v>
      </c>
      <c r="BC8" s="155" t="s">
        <v>400</v>
      </c>
      <c r="BD8" s="360" t="s">
        <v>401</v>
      </c>
      <c r="BE8" s="359" t="s">
        <v>587</v>
      </c>
      <c r="BF8" s="360" t="s">
        <v>402</v>
      </c>
      <c r="BG8" s="155" t="s">
        <v>403</v>
      </c>
      <c r="BH8" s="359" t="s">
        <v>159</v>
      </c>
      <c r="BI8" s="359" t="s">
        <v>406</v>
      </c>
      <c r="BJ8" s="155" t="s">
        <v>381</v>
      </c>
      <c r="BK8" s="360" t="s">
        <v>159</v>
      </c>
      <c r="BL8" s="155" t="s">
        <v>431</v>
      </c>
      <c r="BM8" s="155" t="s">
        <v>432</v>
      </c>
      <c r="BN8" s="155" t="s">
        <v>433</v>
      </c>
      <c r="BO8" s="155" t="s">
        <v>434</v>
      </c>
      <c r="BP8" s="155" t="s">
        <v>424</v>
      </c>
      <c r="BQ8" s="359" t="s">
        <v>428</v>
      </c>
      <c r="BR8" s="156" t="s">
        <v>456</v>
      </c>
      <c r="BS8" s="156" t="s">
        <v>462</v>
      </c>
      <c r="BT8" s="156" t="s">
        <v>463</v>
      </c>
      <c r="BU8" s="157" t="s">
        <v>583</v>
      </c>
      <c r="BV8" s="157" t="s">
        <v>581</v>
      </c>
      <c r="BW8" s="157" t="s">
        <v>363</v>
      </c>
      <c r="BX8" s="157" t="s">
        <v>584</v>
      </c>
      <c r="BY8" s="157" t="s">
        <v>585</v>
      </c>
      <c r="BZ8" s="157" t="s">
        <v>586</v>
      </c>
      <c r="CA8" s="352" t="s">
        <v>590</v>
      </c>
      <c r="CB8" s="352" t="s">
        <v>148</v>
      </c>
      <c r="CC8" s="158" t="s">
        <v>612</v>
      </c>
      <c r="CD8" s="293" t="s">
        <v>613</v>
      </c>
      <c r="CE8" s="358" t="s">
        <v>616</v>
      </c>
      <c r="CF8" s="158" t="s">
        <v>617</v>
      </c>
      <c r="CG8" s="158" t="s">
        <v>155</v>
      </c>
      <c r="CH8" s="158" t="s">
        <v>649</v>
      </c>
      <c r="CI8" s="158" t="s">
        <v>650</v>
      </c>
      <c r="CJ8" s="158" t="s">
        <v>651</v>
      </c>
      <c r="CK8" s="158" t="s">
        <v>652</v>
      </c>
      <c r="CL8" s="158" t="s">
        <v>653</v>
      </c>
      <c r="CM8" s="159"/>
      <c r="CN8" s="159"/>
      <c r="CO8" s="159" t="s">
        <v>658</v>
      </c>
      <c r="CP8" s="347" t="s">
        <v>729</v>
      </c>
      <c r="CQ8" s="157" t="s">
        <v>729</v>
      </c>
      <c r="CR8" s="157" t="s">
        <v>730</v>
      </c>
      <c r="CS8" s="157" t="s">
        <v>155</v>
      </c>
      <c r="CT8" s="157" t="s">
        <v>731</v>
      </c>
      <c r="CU8" s="157" t="s">
        <v>732</v>
      </c>
      <c r="CV8" s="157" t="s">
        <v>1987</v>
      </c>
      <c r="CW8" s="347" t="s">
        <v>750</v>
      </c>
      <c r="CX8" s="157" t="s">
        <v>874</v>
      </c>
      <c r="CY8" s="350" t="s">
        <v>875</v>
      </c>
      <c r="CZ8" s="350" t="s">
        <v>876</v>
      </c>
      <c r="DA8" s="352" t="s">
        <v>751</v>
      </c>
      <c r="DB8" s="358" t="s">
        <v>781</v>
      </c>
      <c r="DC8" s="158" t="s">
        <v>782</v>
      </c>
      <c r="DD8" s="126" t="s">
        <v>784</v>
      </c>
      <c r="DE8" s="126" t="s">
        <v>783</v>
      </c>
      <c r="DF8" s="126" t="s">
        <v>785</v>
      </c>
      <c r="DG8" s="126" t="s">
        <v>791</v>
      </c>
      <c r="DH8" s="193" t="s">
        <v>381</v>
      </c>
      <c r="DI8" s="126" t="s">
        <v>2044</v>
      </c>
      <c r="DJ8" s="126"/>
      <c r="DK8" s="193" t="s">
        <v>800</v>
      </c>
      <c r="DL8" s="193" t="s">
        <v>801</v>
      </c>
      <c r="DM8" s="193" t="s">
        <v>819</v>
      </c>
      <c r="DN8" s="126" t="s">
        <v>945</v>
      </c>
      <c r="DO8" s="126" t="s">
        <v>2010</v>
      </c>
      <c r="DP8" s="126" t="s">
        <v>945</v>
      </c>
      <c r="DQ8" s="126"/>
      <c r="DR8" s="175" t="s">
        <v>821</v>
      </c>
      <c r="DS8" s="175" t="s">
        <v>823</v>
      </c>
      <c r="DT8" s="175" t="s">
        <v>824</v>
      </c>
      <c r="DU8" s="175" t="s">
        <v>825</v>
      </c>
      <c r="DV8" s="175" t="s">
        <v>826</v>
      </c>
      <c r="DW8" s="175" t="s">
        <v>827</v>
      </c>
      <c r="DX8" s="193" t="s">
        <v>1999</v>
      </c>
      <c r="DY8" s="193" t="s">
        <v>2000</v>
      </c>
      <c r="DZ8" s="193" t="s">
        <v>152</v>
      </c>
      <c r="EA8" s="193" t="s">
        <v>153</v>
      </c>
      <c r="EB8" s="126" t="s">
        <v>14</v>
      </c>
      <c r="EC8" s="222" t="s">
        <v>953</v>
      </c>
      <c r="ED8" s="222" t="s">
        <v>954</v>
      </c>
      <c r="EE8" s="275" t="s">
        <v>955</v>
      </c>
      <c r="EF8" s="225" t="s">
        <v>966</v>
      </c>
      <c r="EG8" s="66" t="s">
        <v>1032</v>
      </c>
      <c r="EH8" s="66" t="s">
        <v>965</v>
      </c>
      <c r="EI8" s="55" t="s">
        <v>1033</v>
      </c>
      <c r="EJ8" s="162" t="s">
        <v>1036</v>
      </c>
      <c r="EK8" s="405" t="s">
        <v>2011</v>
      </c>
      <c r="EL8" s="405" t="s">
        <v>363</v>
      </c>
      <c r="EM8" s="174" t="s">
        <v>363</v>
      </c>
      <c r="EN8" s="174" t="s">
        <v>1054</v>
      </c>
      <c r="EO8" s="174" t="s">
        <v>2049</v>
      </c>
      <c r="EP8" s="406" t="s">
        <v>2012</v>
      </c>
      <c r="EQ8" s="406" t="s">
        <v>2013</v>
      </c>
      <c r="ER8" s="356" t="s">
        <v>1085</v>
      </c>
      <c r="ES8" s="357" t="s">
        <v>1086</v>
      </c>
      <c r="ET8" s="354" t="s">
        <v>1087</v>
      </c>
      <c r="EU8" s="354" t="s">
        <v>1990</v>
      </c>
      <c r="EV8" s="354" t="s">
        <v>355</v>
      </c>
      <c r="EW8" s="289" t="s">
        <v>1462</v>
      </c>
      <c r="EX8" s="289" t="s">
        <v>1463</v>
      </c>
      <c r="EY8" s="289" t="s">
        <v>1464</v>
      </c>
      <c r="EZ8" s="289" t="s">
        <v>1465</v>
      </c>
      <c r="FA8" s="291" t="s">
        <v>732</v>
      </c>
      <c r="FB8" s="279" t="s">
        <v>869</v>
      </c>
      <c r="FC8" s="353" t="s">
        <v>1783</v>
      </c>
      <c r="FD8" s="353" t="s">
        <v>1784</v>
      </c>
      <c r="FE8" s="279" t="s">
        <v>870</v>
      </c>
      <c r="FF8" s="295" t="s">
        <v>868</v>
      </c>
      <c r="FG8" s="295" t="s">
        <v>1466</v>
      </c>
      <c r="FH8" s="289" t="s">
        <v>1467</v>
      </c>
      <c r="FI8" s="364" t="s">
        <v>1535</v>
      </c>
      <c r="FJ8" s="287" t="s">
        <v>1536</v>
      </c>
      <c r="FK8" s="364" t="s">
        <v>1537</v>
      </c>
      <c r="FL8" s="364" t="s">
        <v>1535</v>
      </c>
      <c r="FM8" s="287" t="s">
        <v>1536</v>
      </c>
      <c r="FN8" s="410" t="s">
        <v>2061</v>
      </c>
      <c r="FO8" s="410" t="s">
        <v>2060</v>
      </c>
      <c r="FP8" s="287" t="s">
        <v>1832</v>
      </c>
      <c r="FQ8" s="287" t="s">
        <v>1830</v>
      </c>
      <c r="FR8" s="364" t="s">
        <v>1831</v>
      </c>
      <c r="FS8" s="287" t="s">
        <v>1850</v>
      </c>
      <c r="FT8" s="287" t="s">
        <v>1851</v>
      </c>
      <c r="FU8" s="364" t="s">
        <v>1852</v>
      </c>
      <c r="FV8" s="287" t="s">
        <v>1853</v>
      </c>
      <c r="FW8" s="287" t="s">
        <v>1854</v>
      </c>
      <c r="FX8" s="364" t="s">
        <v>1855</v>
      </c>
      <c r="FY8" s="287" t="s">
        <v>1856</v>
      </c>
      <c r="FZ8" s="287" t="s">
        <v>1857</v>
      </c>
      <c r="GA8" s="364" t="s">
        <v>1858</v>
      </c>
      <c r="GB8" s="287" t="s">
        <v>1859</v>
      </c>
      <c r="GC8" s="287" t="s">
        <v>1860</v>
      </c>
      <c r="GD8" s="364" t="s">
        <v>1861</v>
      </c>
      <c r="GE8" s="392" t="s">
        <v>1864</v>
      </c>
      <c r="GF8" s="278" t="s">
        <v>1865</v>
      </c>
      <c r="GG8" s="278" t="s">
        <v>1915</v>
      </c>
      <c r="GH8" s="278" t="s">
        <v>1915</v>
      </c>
      <c r="GI8" s="278" t="s">
        <v>692</v>
      </c>
      <c r="GJ8" s="55" t="s">
        <v>1921</v>
      </c>
      <c r="GL8" s="55" t="s">
        <v>1994</v>
      </c>
      <c r="GM8" s="55" t="s">
        <v>1995</v>
      </c>
      <c r="GN8" s="55" t="s">
        <v>1996</v>
      </c>
      <c r="GQ8" s="55" t="s">
        <v>203</v>
      </c>
    </row>
    <row r="9" spans="1:199" ht="36.75" customHeight="1" thickTop="1">
      <c r="A9" s="51">
        <v>1</v>
      </c>
      <c r="B9" s="9"/>
      <c r="C9" s="24"/>
      <c r="D9" s="24"/>
      <c r="E9" s="10"/>
      <c r="F9" s="24"/>
      <c r="G9" s="25"/>
      <c r="H9" s="559"/>
      <c r="I9" s="712"/>
      <c r="J9" s="24"/>
      <c r="K9" s="148" t="str">
        <f t="shared" ref="K9:K23" si="0">IF(G9="","",FH9)</f>
        <v/>
      </c>
      <c r="L9" s="11"/>
      <c r="M9" s="11"/>
      <c r="N9" s="398"/>
      <c r="O9" s="11"/>
      <c r="P9" s="11"/>
      <c r="Q9" s="611"/>
      <c r="R9" s="611"/>
      <c r="S9" s="13"/>
      <c r="T9" s="25"/>
      <c r="U9" s="25"/>
      <c r="V9" s="25"/>
      <c r="W9" s="398"/>
      <c r="X9" s="11"/>
      <c r="Y9" s="26"/>
      <c r="Z9" s="26"/>
      <c r="AA9" s="24"/>
      <c r="AB9" s="24"/>
      <c r="AC9" s="24"/>
      <c r="AD9" s="386"/>
      <c r="AE9" s="168" t="str">
        <f t="shared" ref="AE9:AE23" si="1">IF(SUM(D9)=0,"",IF(E9="MS",SUM(((C9*D9)/1000000)*F9),SUM(((C9*D9)/1000000))))</f>
        <v/>
      </c>
      <c r="AF9" s="236"/>
      <c r="AG9" s="237"/>
      <c r="AI9" s="55">
        <f t="shared" ref="AI9:AI23" si="2">IF(N9=$AI$4,C9/1000,0)</f>
        <v>0</v>
      </c>
      <c r="AJ9" s="55">
        <f t="shared" ref="AJ9:AJ23" si="3">IF(N9=$AJ$4,C9/1000*AK9,0)</f>
        <v>0</v>
      </c>
      <c r="AK9" s="55">
        <f>IF(P9&lt;&gt;"",VLOOKUP(P9,Data!$AAY$2:$AAZ$44,2,FALSE),0)</f>
        <v>0</v>
      </c>
      <c r="AL9" s="55" t="str">
        <f>IF(E9=Data!$BB$10,Data!$BC$10,Data!$BC$2)</f>
        <v>ShutterMaterial</v>
      </c>
      <c r="AP9" s="55" t="str">
        <f>IF(N9=$AP$2,$AP$3,$AQ$3)</f>
        <v>SlidingSystemNA</v>
      </c>
      <c r="AV9" s="113" t="str">
        <f t="shared" ref="AV9:AV23" si="4">IF(G9="Fauxwood Eco",BU9+BY9+BZ9,IF(G9="Fauxwood Eco Air",BU9+BY9+BZ9,IF(G9="Fauxwood Eco Elite",BU9+BY9+BZ9, IF(G9="Fauxwood Night",BU9+BY9+BZ9,IF(G9="Timber Eco",BX9+BY9+BZ9,"")))))</f>
        <v/>
      </c>
      <c r="AW9" s="66" t="e">
        <f t="shared" ref="AW9:AW23" si="5">IF(OR(AND(X9="",EF9="Yes")), "Yes","No")</f>
        <v>#N/A</v>
      </c>
      <c r="AX9" s="174" t="e">
        <f>VLOOKUP(Q9,Data!$MI$2:$MJ$4,2,FALSE)</f>
        <v>#N/A</v>
      </c>
      <c r="AY9" s="174" t="e">
        <f t="shared" ref="AY9:AY23" si="6">IF(OR(AND(E9="IN",AX9="Yes")), "Yes","No")</f>
        <v>#N/A</v>
      </c>
      <c r="AZ9" s="174" t="e">
        <f>VLOOKUP(N9,Data!$BI$24:$BJ$30,2,FALSE)</f>
        <v>#N/A</v>
      </c>
      <c r="BA9" s="160" t="b">
        <f>IF(G9=Data!$BO$2,Data!$BS$2, IF('Shutters Page 1'!G9=Data!$BP$2,Data!$BT$2, IF('Shutters Page 1'!G9=Data!$BQ$2,Data!$BU$2)))</f>
        <v>0</v>
      </c>
      <c r="BB9" s="361" t="str">
        <f t="shared" ref="BB9:BB23" si="7">IF(OR(AND(D9&gt;1500,G9="Fauxwood Eco",L9=""), AND(D9&gt;1500,G9="Fauxwood Night",L9=""), AND(D9&gt;1500,G9="Fauxwood Eco Air",L9=""),AND(D9&gt;1500,G9="Fauxwood Eco Elite",L9=""), AND(D9&gt;1800,G9="Timber Eco",L9="")), "Yes","No")</f>
        <v>No</v>
      </c>
      <c r="BC9" s="160" t="e">
        <f t="shared" ref="BC9:BC23" si="8">IF(E9="MS",C9*1,C9/F9)</f>
        <v>#DIV/0!</v>
      </c>
      <c r="BD9" s="361" t="e">
        <f t="shared" ref="BD9:BD23" si="9">IF(OR(AND(BC9&gt;650,G9="Fauxwood Eco"), AND(BC9&gt;650,G9="Fauxwood Night"), AND(BC9&gt;650,G9="Fauxwood Eco Air"), AND(BC9&gt;650,G9="Fauxwood Eco Elite"), AND(BC9&gt;950,G9="Timber Eco")), "Yes","No")</f>
        <v>#DIV/0!</v>
      </c>
      <c r="BE9" s="160" t="e">
        <f t="shared" ref="BE9:BE23" si="10">IF(OR(AND(BC9&gt;650,G9="Fauxwood",E9="MS"),AND(BC9&gt;700,G9="Fauxwood",E9="IN"),AND(BC9&gt;700,G9="Fauxwood",E9="OUT")), "Yes","No")</f>
        <v>#DIV/0!</v>
      </c>
      <c r="BF9" s="361" t="str">
        <f t="shared" ref="BF9:BF23" si="11">IF(OR(AND(D9&gt;2600,G9="Fauxwood Eco"),AND(D9&gt;2600,G9="Fauxwood Night"), AND(D9&gt;2600,G9="Fauxwood Eco Air"),AND(D9&gt;2600,G9="Fauxwood Eco Elite"),AND(D9&gt;3000,G9="Timber Eco")), "Yes","No")</f>
        <v>No</v>
      </c>
      <c r="BG9" s="160" t="str">
        <f t="shared" ref="BG9:BG23" si="12">IF(OR(AND(C9&gt;0,W9="")), "Required","NotRequired")</f>
        <v>NotRequired</v>
      </c>
      <c r="BH9" s="160" t="b">
        <f>IF(G9=Data!$BO$2,Data!$CM$2, IF('Shutters Page 1'!G9=Data!$BP$2,Data!$CN$2, IF('Shutters Page 1'!G9=Data!$BQ$2,Data!$CO$2)))</f>
        <v>0</v>
      </c>
      <c r="BI9" s="160" t="e">
        <f>IF(OR(AND(BA9="FauxwoodY",BD9="Yes")), "Highlight","NoHighlight")</f>
        <v>#DIV/0!</v>
      </c>
      <c r="BJ9" s="161" t="str">
        <f t="shared" ref="BJ9:BJ23" si="13">IF(OR(AND(N9="Sliding",Y9="")), "Highlight","NoHighlight")</f>
        <v>NoHighlight</v>
      </c>
      <c r="BK9" s="361" t="str">
        <f t="shared" ref="BK9:BK23" si="14">IF(OR(AND(J9="89mm",G9="Fauxwood Eco"),AND(J9="89mm",G9="Fauxwood Eco Elite")),"FauxwoodRP","FauxwoodRPNo")</f>
        <v>FauxwoodRPNo</v>
      </c>
      <c r="BL9" s="161" t="str">
        <f>IF(SUM(--ISNUMBER( SEARCH({"t","T"},P9))),"Yes","No")</f>
        <v>No</v>
      </c>
      <c r="BM9" s="161" t="str">
        <f t="shared" ref="BM9:BM23" si="15">IF(OR(AND(Z9&gt;0,AA9="")), "Error","OK")</f>
        <v>OK</v>
      </c>
      <c r="BN9" s="161" t="str">
        <f t="shared" ref="BN9:BN23" si="16">IF(OR(AND(Z9&gt;1,AB9="")), "Error","OK")</f>
        <v>OK</v>
      </c>
      <c r="BO9" s="161" t="str">
        <f t="shared" ref="BO9:BO23" si="17">IF(OR(AND(Z9&gt;2,AC9="")), "Error","OK")</f>
        <v>OK</v>
      </c>
      <c r="BP9" s="161" t="e">
        <f>IF(OR(AND(F9&gt;1,#REF!="L",#REF!="l"),AND(F9&gt;1,#REF!="R",#REF!="r"),AND(F9&gt;2,#REF!="LR",#REF!="lr")), "Error","OK")</f>
        <v>#REF!</v>
      </c>
      <c r="BQ9" s="161" t="str">
        <f t="shared" ref="BQ9:BQ23" si="18">IF(OR(AND(J9="63mm",G9="Fauxwood"),AND(J9="89mm",G9="Fauxwood")),"FauxwoodAI","FauxwoodAINo")</f>
        <v>FauxwoodAINo</v>
      </c>
      <c r="BR9" s="161" t="str">
        <f>IF(SUM(--ISNUMBER(SEARCH({"combo","Combo","COMBO"}, B26))),"Yes","No")</f>
        <v>No</v>
      </c>
      <c r="BS9" s="161" t="str">
        <f>IF(OR(AND(BL9="Yes",BR9="Yes")),"Yes","No")</f>
        <v>No</v>
      </c>
      <c r="BT9" s="161" t="str">
        <f>IF(SUM(--ISNUMBER( SEARCH({"c","C","b","B"},#REF!))),"Yes","No")</f>
        <v>No</v>
      </c>
      <c r="BU9" s="162">
        <f t="shared" ref="BU9:BU23" si="19">IF(D9="",0,IF(N9="Fixed","N/A",IF(N9="Sliding","N/A",IF(N9="Track Bi Fold","N/A",IF(N9="Pivot Hinged","N/A",IF(D9&lt;741,2,IF(D9&lt;1321,3,IF(D9&lt;1906,4,IF(D9&lt;2601,5, 6)))*IF(F9&gt;0,F9,1)))))))</f>
        <v>0</v>
      </c>
      <c r="BV9" s="174" t="str">
        <f>IF(N9=Data!$BI$3,Data!$DR$3,IF(N9=Data!$BI$4,Data!$DS$3,IF(N9=Data!$BI$5,Data!$DT$3,IF(N9=Data!$BI$6,Data!$DU$3,IF(N9=Data!$BI$7,Data!$DV$3, IF(N9=Data!$BI$8,Data!$DX$3, IF(N9=Data!$BI$9,Data!$DW$3, "")))))))</f>
        <v/>
      </c>
      <c r="BW9" s="174" t="str">
        <f>IF(N9=Data!$BI$3,Data!$DY$3,IF(N9=Data!$BI$4,Data!$DZ$3,IF(N9=Data!$BI$5,Data!$EA$3,IF(N9=Data!$BI$6,Data!$EB$3,IF(N9=Data!$BI$7,Data!$EC$3,IF(N9=Data!$BI$8,Data!$EE$3, IF(N9=Data!$BI$9,Data!$ED$3,"")))))))</f>
        <v/>
      </c>
      <c r="BX9" s="162">
        <f t="shared" ref="BX9:BX23" si="20">IF(D9="",0,IF(N9="Fixed","N/A",IF(N9="Sliding","N/A",IF(N9="Track Bi Fold","N/A",IF(N9="Pivot Hinged","N/A",IF(D9&lt;1301,2,IF(D9&lt;1801,3,IF(D9&lt;2501,4,5)))*IF(F9&gt;0,F9,1))))))</f>
        <v>0</v>
      </c>
      <c r="BY9" s="162">
        <f t="shared" ref="BY9:BY23" si="21">IF(N9="Double Hinged",F9,0)</f>
        <v>0</v>
      </c>
      <c r="BZ9" s="174" t="e">
        <f t="shared" ref="BZ9:BZ23" si="22">IF(C9/F9&gt;650,F9,0)</f>
        <v>#DIV/0!</v>
      </c>
      <c r="CA9" s="351" t="b">
        <f>IF(G9=Data!$EU$2,Data!$ES$2,IF(G9=Data!$EU$3,Data!$ER$2, IF(G9=Data!$EU$5,Data!$ET$2, IF(G9=Data!$EU$4,Data!$EQ$2,IF(G9=Data!$EU$6,Data!$ER$2)))))</f>
        <v>0</v>
      </c>
      <c r="CB9" s="351" t="b">
        <f>IF(G9=Data!$EU$2,Data!$EW$2,IF(G9=Data!$EU$3,Data!$EX$2,IF(G9=Data!$EU$4,Data!$EY$2, IF(G9=Data!$EU$5,Data!$EY$2,IF(G9=Data!$EU$6,Data!$EX$2)))))</f>
        <v>0</v>
      </c>
      <c r="CC9" s="174" t="e">
        <f>VLOOKUP(M9,Data!$EJ$3:$EK$15,2,FALSE)</f>
        <v>#N/A</v>
      </c>
      <c r="CD9" s="174" t="str">
        <f>IF(J9="114mm",VLOOKUP(H9,Data!$FA$2:$FB$18,2,FALSE),"OK")</f>
        <v>OK</v>
      </c>
      <c r="CE9" s="174" t="e">
        <f t="shared" ref="CE9:CE23" si="23">IF(OR(AND(BC9&gt;800,G9="Fauxwood",J9="63mm"),AND(BC9&gt;900,G9="Fauxwood",J9="89mm")), "Yes","No")</f>
        <v>#DIV/0!</v>
      </c>
      <c r="CF9" s="174" t="str">
        <f>IF(OR(AND(S9="",Q9&lt;&gt;"")),VLOOKUP(Q9,Data!$FC$2:$FD$19,2,FALSE),"")</f>
        <v/>
      </c>
      <c r="CG9" s="174" t="str">
        <f>IF(N9=Data!$BI$3,Data!$FJ$1,IF(N9=Data!$BI$4,Data!$FK$1,IF(N9=Data!$BI$5,Data!$FL$1,IF(N9=Data!$BI$6,Data!$FM$1,IF(N9=Data!$BI$7,Data!$FN$1, IF(N9=Data!$BI$8,Data!$FO$1, IF(N9=Data!$BI$9,Data!$FI$1, "")))))))</f>
        <v/>
      </c>
      <c r="CH9" s="174" t="str">
        <f>IF(SUM(--ISNUMBER(SEARCH({"z","Z"}, Q9))),"Yes","No")</f>
        <v>No</v>
      </c>
      <c r="CI9" s="174" t="str">
        <f t="shared" ref="CI9:CI23" si="24">IF(OR(AND(E9="OUT",CH9="Yes")), "Error","OK")</f>
        <v>OK</v>
      </c>
      <c r="CJ9" s="174">
        <f t="shared" ref="CJ9:CJ23" si="25">LEN(P9)</f>
        <v>0</v>
      </c>
      <c r="CK9" s="174" t="e">
        <f>VLOOKUP(P9,Data!$DO$4:$DP$157,2,FALSE)</f>
        <v>#N/A</v>
      </c>
      <c r="CL9" s="174" t="e">
        <f t="shared" ref="CL9:CL23" si="26">IF(F9&lt;&gt;CK9,"Failed","Passed")</f>
        <v>#N/A</v>
      </c>
      <c r="CM9" s="162"/>
      <c r="CN9" s="162" t="s">
        <v>659</v>
      </c>
      <c r="CO9" s="162" t="str">
        <f>IF(COUNTIF(M9:M23,Data!EJ4),Data!EL4,"")</f>
        <v/>
      </c>
      <c r="CP9" s="366" t="str">
        <f t="shared" ref="CP9:CP23" si="27">IF(AND(OR(G9="Fauxwood Eco", G9="Fauxwood Night", G9="Fauxwood Eco Elite", G9="Fauxwood Eco Air", N9="Hinged",N9="Track Bi Fold")), "Error","OK")</f>
        <v>OK</v>
      </c>
      <c r="CQ9" s="174" t="b">
        <f t="shared" ref="CQ9:CQ23" si="28">IF(N9="Hinged",50,IF(N9="Double Hinged",50,IF(N9="Track Bi Fold",0,IF(N9="Sliding",40,IF(N9="Fixed",0, IF(N9="Pivot Hinged",0))))))</f>
        <v>0</v>
      </c>
      <c r="CR9" s="174">
        <f t="shared" ref="CR9:CR21" si="29">IF(E9="IN",1,IF(E9="OUT",1,0))</f>
        <v>0</v>
      </c>
      <c r="CS9" s="174">
        <f t="shared" ref="CS9:CS23" si="30">IF(Q9="No Frame",0,IF(Q9="Hanging Strip",0,1))</f>
        <v>1</v>
      </c>
      <c r="CT9" s="174">
        <f>CQ9*CR9*CS9</f>
        <v>0</v>
      </c>
      <c r="CU9" s="162" t="e">
        <f t="shared" ref="CU9:CU23" si="31">IF(E9="MS",C9,IF(EY9=$EY$7,(C9-CT9)/EZ9,(C9-CT9)/F9))</f>
        <v>#DIV/0!</v>
      </c>
      <c r="CV9" s="162" t="e">
        <f>VLOOKUP(H9,Data!$BD$81:$BE$111,2,FALSE)</f>
        <v>#N/A</v>
      </c>
      <c r="CW9" s="174" t="str">
        <f t="shared" ref="CW9:CW23" si="32">IF(H9&lt;&gt;"",CV9,"")</f>
        <v/>
      </c>
      <c r="CX9" s="292" t="str">
        <f>IF(H9=Data!$BE$3,Data!$HQ$2, IF(H9=Data!$BE$4,Data!$HP$2, IF(H9=Data!$BE$5,Data!$HR$2, IF(H9=Data!$BE$6,Data!$HO$2))))</f>
        <v>Super WhiteNA</v>
      </c>
      <c r="CY9" s="351" t="b">
        <f>IF(H9=Data!$BH$3,Data!$HU$2, IF(H9=Data!$BH$4,Data!$HT$2, IF(H9=Data!$BH$5,Data!$HS$2)))</f>
        <v>0</v>
      </c>
      <c r="CZ9" s="351" t="b">
        <f>IF(H9=Data!$BF$3,Data!$HQ$16, IF(H9=Data!$BF$4,Data!$HP$16, IF(H9=Data!$BF$5,Data!$HR$16, IF(H9=Data!$BF$6,Data!$HO$16))))</f>
        <v>0</v>
      </c>
      <c r="DA9" s="351" t="b">
        <f>IF(G9=Data!$BC$3,'Shutters Page 1'!CW9,IF(G9=Data!$BC$4,'Shutters Page 1'!CX9,IF(G9=Data!$BC$6,'Shutters Page 1'!CY9, IF(G9=Data!$BC$5, 'Shutters Page 1'!CX9,IF(G9=Data!$BC$7,'Shutters Page 1'!CX9)))))</f>
        <v>0</v>
      </c>
      <c r="DB9" s="162" t="e">
        <f>IF(OR(AND(L9&gt;0,#REF!="")), "Error","OK")</f>
        <v>#REF!</v>
      </c>
      <c r="DC9" s="174" t="e">
        <f>IF(COUNTIF(#REF!,Data!$CX$6),"Yes","")</f>
        <v>#REF!</v>
      </c>
      <c r="DD9" s="55" t="str">
        <f t="shared" ref="DD9:DD23" si="33">IF(AND(OR(G9="Fauxwood"),AND(K9="Yes")), "Yes","")</f>
        <v/>
      </c>
      <c r="DE9" s="55" t="str">
        <f>IF($CO$9=Data!$EL$4,"Yes",IF('Shutters Page 1'!$CO$10=Data!$EL$5,"Yes",IF('Shutters Page 1'!$CO$11=Data!$EL$6,"Yes",IF('Shutters Page 1'!$CO$12=Data!$EL$8,"Yes",""))))</f>
        <v/>
      </c>
      <c r="DF9" s="55" t="str">
        <f>IF(COUNTIF(DC9:DE23,Data!IZ3),"Yes","")</f>
        <v/>
      </c>
      <c r="DG9" s="55" t="str">
        <f>IF(N9=Data!$BI$5,"Yes",IF(N9=Data!$BI$6,"Yes","No"))</f>
        <v>No</v>
      </c>
      <c r="DH9" s="66" t="b">
        <f>IF(N9=Data!$BI$3,Data!$JB$2,IF(N9=Data!$BI$4,Data!$JC$2,IF(N9=Data!$BI$5,Data!$JD$2,IF(N9=Data!$BI$6,DI9,IF(N9=Data!$BI$7,Data!$JF$2, IF(N9=Data!$BI$8,Data!$JA$2, IF(N9=Data!$BI$9,Data!$JG$2)))))))</f>
        <v>0</v>
      </c>
      <c r="DI9" s="55" t="e">
        <f>VLOOKUP(P9,Data!$AAY$2:$ABA$44,3,FALSE)</f>
        <v>#N/A</v>
      </c>
      <c r="DK9" s="66" t="e">
        <f>VLOOKUP(P9,Data!$DO$4:$DQ$157,3,FALSE)</f>
        <v>#N/A</v>
      </c>
      <c r="DL9" s="55" t="e">
        <f t="shared" ref="DL9:DL23" si="34">Z9-DK9</f>
        <v>#N/A</v>
      </c>
      <c r="DM9" s="55" t="e">
        <f>IF(DL9=0,"OK", "Layout Code &amp; T Post Quantity Issue")</f>
        <v>#N/A</v>
      </c>
      <c r="DN9" s="162" t="b">
        <f>IF(Q9=Data!$BK$3,Data!$JH$2,IF(Q9=Data!$BK$4,Data!$JI$2,IF(Q9=Data!$BK$5,Data!$JJ$2,IF(Q9=Data!$BK$6,Data!$JK$2,IF(Q9=Data!$BK$7,Data!$JL$2,IF(Q9=Data!$BK$8,Data!$JM$2,IF(Q9=Data!$BK$9,Data!$JN$2,IF(Q9=Data!$BK$10,Data!$JO$2,IF(Q9=Data!$BK$11,Data!$JP$2,IF(Q9=Data!$BK$12,Data!$JQ$2,IF(Q9=Data!$BK$13,Data!$JR$2,IF(Q9=Data!$BK$14,Data!$JS$2,IF(Q9=Data!$BK$15,Data!$JT$2,IF(Q9=Data!$BK$16,Data!$JU$2,IF(Q9=Data!$BK$17,Data!$JV$2,IF(Q9=Data!$BK$18,Data!$JW$2, IF(Q9=Data!$BK$19,Data!$JX$2, IF(Q9=Data!$BK$20,Data!$JY$2, IF(Q9=Data!$BK$21,Data!$JN$2, IF(Q9=Data!$BK$22,Data!$JN$2, IF(Q9=Data!$BK$23,Data!$JN$2, IF(Q9=Data!$BK$24,Data!$JL$19))))))))))))))))))))))</f>
        <v>0</v>
      </c>
      <c r="DO9" s="55" t="str">
        <f>Data!$JH$19</f>
        <v>LRFrameAir</v>
      </c>
      <c r="DP9" s="55" t="b">
        <f>IF(G9=Data!$JH$18,'Shutters Page 1'!DO9,'Shutters Page 1'!DN9)</f>
        <v>0</v>
      </c>
      <c r="DR9" s="174" t="str">
        <f>IF(COUNTIF(BM9:BO9,$DR$7),"Required","")</f>
        <v/>
      </c>
      <c r="DS9" s="174" t="e">
        <f>IF(OR(AND(DM9="Layout Code &amp; T Post Quantity Issue"), AND(DR9="Required")),"Yes","No")</f>
        <v>#N/A</v>
      </c>
      <c r="DT9" s="174" t="str">
        <f t="shared" ref="DT9:DT23" si="35">IF(OR(AND(AB9="",Z9=2)), "Error","OK")</f>
        <v>OK</v>
      </c>
      <c r="DU9" s="174" t="str">
        <f t="shared" ref="DU9:DU23" si="36">IF(OR(AND(AA9&lt;&gt;"",Z9&lt;1)), "Error","OK")</f>
        <v>OK</v>
      </c>
      <c r="DV9" s="174" t="str">
        <f t="shared" ref="DV9:DV23" si="37">IF(OR(AND(AB9&lt;&gt;"",Z9&lt;2)), "Error","OK")</f>
        <v>OK</v>
      </c>
      <c r="DW9" s="174" t="str">
        <f t="shared" ref="DW9:DW23" si="38">IF(OR(AND(AC9&lt;&gt;"",Z9&lt;3)), "Error","OK")</f>
        <v>OK</v>
      </c>
      <c r="DX9" s="66" t="b">
        <f>IF(N9=Data!$LW$2,Data!$LX$1,IF(N9=Data!$LW$3,Data!$LY$1,IF(N9=Data!$LW$4,Data!$LZ$1,IF(N9=Data!$LW$5,Data!$MA$1,IF(N9=Data!$LW$6,Data!$MB$1,IF(N9=Data!$LW$7,Data!$MC$1, IF(N9=Data!$LW$8,Data!$MX$1)))))))</f>
        <v>0</v>
      </c>
      <c r="DY9" s="66" t="b">
        <f>IF(N9=Data!$LW$2,Data!$LX$147,IF(N9=Data!$LW$7,Data!$MC$1))</f>
        <v>0</v>
      </c>
      <c r="DZ9" s="66" t="b">
        <f>IF(G9=Data!$BC$3,'Shutters Page 1'!DX9,IF(G9=Data!$BC$5,'Shutters Page 1'!DY9))</f>
        <v>0</v>
      </c>
      <c r="EA9" s="66" t="b">
        <f>IF(E9=Data!$MD$2,Data!$ME$2, IF(E9=Data!$MD$3,Data!$MF$2, IF(E9=Data!$MD$4,Data!$MG$2)))</f>
        <v>0</v>
      </c>
      <c r="EB9" s="162" t="str">
        <f>IF(E9="MS",Data!$AK$1,IF(G9=Data!$BC$5,Data!$EJ$40,IF(G9=Data!$BC$4,Data!$EJ$20,Data!$EJ$2)))</f>
        <v>Special_Window_Timber</v>
      </c>
      <c r="EC9" s="66" t="str">
        <f>IF(OR(AND(T9="",Q9&lt;&gt;"")),VLOOKUP(Q9,Data!$FC$2:$FD$18,2,FALSE),"")</f>
        <v/>
      </c>
      <c r="ED9" s="66" t="str">
        <f>IF(OR(AND(U9="",Q9&lt;&gt;"")),VLOOKUP(Q9,Data!$FC$2:$FD$18,2,FALSE),"")</f>
        <v/>
      </c>
      <c r="EE9" s="66" t="str">
        <f>IF(OR(AND(V9="",Q9&lt;&gt;"")),VLOOKUP(Q9,Data!$FC$2:$FD$18,2,FALSE),"")</f>
        <v/>
      </c>
      <c r="EF9" s="162" t="e">
        <f>VLOOKUP(N9,Data!$MK$2:$ML$8,2,FALSE)</f>
        <v>#N/A</v>
      </c>
      <c r="EG9" s="66" t="e">
        <f>VLOOKUP(P9,Data!$DO$4:$DO$158,1,FALSE)</f>
        <v>#N/A</v>
      </c>
      <c r="EH9" s="66" t="e">
        <f t="shared" ref="EH9:EH23" si="39">EXACT(P9,EG9)</f>
        <v>#N/A</v>
      </c>
      <c r="EI9" s="55" t="str">
        <f t="shared" ref="EI9:EI23" si="40">IF(P9="","",IFERROR(EH9,"ERROR"))</f>
        <v/>
      </c>
      <c r="EJ9" s="162" t="str">
        <f t="shared" ref="EJ9:EJ23" si="41">IF(D9="","OK", D9)</f>
        <v>OK</v>
      </c>
      <c r="EK9" s="405" t="str">
        <f>Data!$JI$19</f>
        <v>TopBottomFrameAir</v>
      </c>
      <c r="EL9" s="405" t="b">
        <f>IF(G9=Data!$JH$18,EK9,EM9)</f>
        <v>0</v>
      </c>
      <c r="EM9" s="174" t="b">
        <f>IF(Q9=Data!$NN$3,Data!$NO$2, IF(Q9=Data!$NN$4,Data!$NP$2, IF(Q9=Data!$NN$5,Data!$NQ$2, IF(Q9=Data!$NN$6,Data!$NR$2, IF(Q9=Data!$NN$7,Data!$NS$2, IF(Q9=Data!$NN$8,Data!$NT$2, IF(Q9=Data!$NN$9,Data!$NU$2, IF(Q9=Data!$NN$10,Data!$NV$2, IF(Q9=Data!$NN$11,Data!$NW$2, IF(Q9=Data!$NN$12,Data!$NX$2, IF(Q9=Data!$NN$13,Data!$NY$2, IF(Q9=Data!$NN$14,Data!$NZ$2, IF(Q9=Data!$NN$15,Data!$OA$2, IF(Q9=Data!$NN$16,Data!$OB$2, IF(Q9=Data!$NN$17,Data!$OC$2, IF(Q9=Data!$NN$18,Data!$OD$2, IF(Q9=Data!$NN$19,Data!$OE$2, IF(Q9=Data!$NN$20,Data!$OG$2, IF(Q9=Data!$NN$25,Data!$NT$2, IF(Q9=Data!$NN$26,Data!$NT$2, IF(Q9=Data!$NN$27,Data!$NT$2, IF(Q9=Data!$NN$28,Data!$OH$2))))))))))))))))))))))</f>
        <v>0</v>
      </c>
      <c r="EN9" s="174" t="b">
        <f>IF(O9=$EN$7,Data!$OD$15,'Shutters Page 1'!EO9)</f>
        <v>0</v>
      </c>
      <c r="EO9" s="174" t="b">
        <f>IF(Q9=Data!$NN$3,Data!$NO$15,IF(Q9=Data!$NN$4,Data!$NP$15,IF(Q9=Data!$NN$5,Data!$NQ$15,IF(Q9=Data!$NN$6,Data!$NR$15,IF(Q9=Data!$NN$7,Data!$NS$15,IF(Q9=Data!$NN$8,Data!$NT$15,IF(Q9=Data!$NN$9,Data!$NU$15,IF(Q9=Data!$NN$10,Data!$NV$15,IF(Q9=Data!$NN$11,Data!$NW$15,IF(Q9=Data!$NN$12,Data!$NX$15,IF(Q9=Data!$NN$13,Data!$NY$15,IF(Q9=Data!$NN$14,Data!$NZ$15,IF(N9=Data!$NN$22,Data!$OA$15,IF(N9=Data!$NN$23,Data!$OB$15,IF(Q9=Data!$NN$19,Data!$OC$15, IF(Q9=Data!$NN$20,Data!$OG$15,IF(Q9=Data!$NN$25,Data!$NT$15,IF(Q9=Data!$NN$26,Data!$NT$15,IF(Q9=Data!$NN$27,Data!$NT$15,IF(Q9=Data!$NN$28,Data!$OH$15))))))))))))))))))))</f>
        <v>0</v>
      </c>
      <c r="EP9" s="406" t="str">
        <f>Data!$JI$19</f>
        <v>TopBottomFrameAir</v>
      </c>
      <c r="EQ9" s="406" t="b">
        <f>IF(G9=Data!$JH$18,EP9,EN9)</f>
        <v>0</v>
      </c>
      <c r="ER9" s="351" t="e">
        <f>MATCH(G9,Data!$CW$10:$CW$14,0)</f>
        <v>#N/A</v>
      </c>
      <c r="ES9" s="174" t="e">
        <f>MATCH(J9,Data!$CX$9:$DA$9,0)</f>
        <v>#N/A</v>
      </c>
      <c r="ET9" s="355" t="e">
        <f>INDEX(Data!$CX$10:$DA$14,'Shutters Page 1'!ER9,'Shutters Page 1'!ES9)</f>
        <v>#N/A</v>
      </c>
      <c r="EU9" s="355" t="e">
        <f>VLOOKUP(H9,Data!$BD$81:$BE$115,2,FALSE)</f>
        <v>#N/A</v>
      </c>
      <c r="EV9" s="355" t="e">
        <f>IF(EU9=Data!$BB$80,Data!$CW$20,'Shutters Page 1'!ET9)</f>
        <v>#N/A</v>
      </c>
      <c r="EW9" s="174" t="str">
        <f>IF(SUM(--ISNUMBER(SEARCH({"combo","Combo","COMBO"}, B26))),"Yes","No")</f>
        <v>No</v>
      </c>
      <c r="EX9" s="174" t="str">
        <f>IF(SUM(--ISNUMBER(SEARCH({"combo","Combo","COMBO"}, F26))),"Yes","No")</f>
        <v>No</v>
      </c>
      <c r="EY9" s="174" t="str">
        <f>IF(COUNTIF(EW9:EX9,$EY$7),"Yes","No")</f>
        <v>No</v>
      </c>
      <c r="EZ9" s="162">
        <f t="shared" ref="EZ9:EZ23" si="42">IF(EY9=$EY$7,F9*2,1)</f>
        <v>1</v>
      </c>
      <c r="FA9" s="162" t="e">
        <f t="shared" ref="FA9:FA23" si="43">IF(E9="MS",C9, (C9-CT9)/F9)</f>
        <v>#DIV/0!</v>
      </c>
      <c r="FB9" s="174" t="str">
        <f t="shared" ref="FB9:FB23" si="44">IF(G9="","",IF(OR(AND(G9="Fauxwood Eco",CU9&gt;650)),"Yes","No"))</f>
        <v/>
      </c>
      <c r="FC9" s="351" t="str">
        <f t="shared" ref="FC9:FC23" si="45">IF(G9="","",IF(OR(AND(G9="Fauxwood Eco Air",CU9&gt;750)),"Yes","No"))</f>
        <v/>
      </c>
      <c r="FD9" s="351" t="str">
        <f t="shared" ref="FD9:FD23" si="46">IF(G9="","",IF(OR(AND(G9="Fauxwood Eco Elite",CU9&gt;650)),"Yes","No"))</f>
        <v/>
      </c>
      <c r="FE9" s="174" t="str">
        <f t="shared" ref="FE9:FE23" si="47">IF(G9="","",IF(OR(AND(G9="Fauxwood Night",CU9&gt;650)),"Yes","No"))</f>
        <v/>
      </c>
      <c r="FF9" s="174" t="str">
        <f t="shared" ref="FF9:FF23" si="48">IF(G9="","",IF(OR(AND(G9="Timber Eco",CU9&gt;950)),"Yes","No"))</f>
        <v/>
      </c>
      <c r="FG9" s="174" t="str">
        <f t="shared" ref="FG9:FG23" si="49">IF(G9="","",IF(OR(AND(G9="Timber Eco",CU9&gt;750,EY9=$EY$7)),"Yes","No"))</f>
        <v/>
      </c>
      <c r="FH9" s="278" t="str">
        <f>IF(COUNTIF(FB9:FG9,$EY$7),"Yes","No")</f>
        <v>No</v>
      </c>
      <c r="FI9" s="351" t="e">
        <f>MATCH(G9,Data!$FH$18:$FL$18,0)</f>
        <v>#N/A</v>
      </c>
      <c r="FJ9" s="174" t="e">
        <f>MATCH(N9,Data!$FG$19:$FG$25,0)</f>
        <v>#N/A</v>
      </c>
      <c r="FK9" s="351" t="e">
        <f>INDEX(Data!$FH$19:$FL$25,'Shutters Page 1'!FJ9,'Shutters Page 1'!FI9)</f>
        <v>#N/A</v>
      </c>
      <c r="FL9" s="411" t="e">
        <f>MATCH(G9,Data!$FH$53:$FI$53,0)</f>
        <v>#N/A</v>
      </c>
      <c r="FM9" s="411" t="e">
        <f>MATCH(N9,Data!$FG$54:$FG$60,0)</f>
        <v>#N/A</v>
      </c>
      <c r="FN9" s="411" t="e">
        <f>INDEX(Data!$FH$54:$FI$60,'Shutters Page 1'!FM9,'Shutters Page 1'!FL9)</f>
        <v>#N/A</v>
      </c>
      <c r="FO9" s="411" t="e">
        <f>IF(E9=Data!$FH$35,'Shutters Page 1'!FN9,'Shutters Page 1'!FK9)</f>
        <v>#N/A</v>
      </c>
      <c r="FP9" s="351" t="e">
        <f>MATCH(G9,Data!$ME$26:$MG$26,0)</f>
        <v>#N/A</v>
      </c>
      <c r="FQ9" s="174" t="e">
        <f>MATCH(E9,Data!$MD$27:$MD$29,0)</f>
        <v>#N/A</v>
      </c>
      <c r="FR9" s="351" t="e">
        <f>INDEX(Data!$ME$27:$MG$29, 'Shutters Page 1'!FQ9, 'Shutters Page 1'!FP9)</f>
        <v>#N/A</v>
      </c>
      <c r="FS9" s="351" t="e">
        <f>MATCH(G9,Data!$AAF$1:$AAH$1,0)</f>
        <v>#N/A</v>
      </c>
      <c r="FT9" s="174" t="e">
        <f>MATCH(N9,Data!$AAE$2:$AAE$8,0)</f>
        <v>#N/A</v>
      </c>
      <c r="FU9" s="351" t="e">
        <f>INDEX(Data!$AAF$2:$AAH$8, 'Shutters Page 1'!FT9, 'Shutters Page 1'!FS9)</f>
        <v>#N/A</v>
      </c>
      <c r="FV9" s="351" t="e">
        <f>MATCH(G9,Data!$AAF$12:$AAH$12,0)</f>
        <v>#N/A</v>
      </c>
      <c r="FW9" s="174" t="e">
        <f>MATCH(N9,Data!$AAE$13:$AAE$19,0)</f>
        <v>#N/A</v>
      </c>
      <c r="FX9" s="351" t="e">
        <f>INDEX(Data!$AAF$13:$AAH$19, 'Shutters Page 1'!FW9, 'Shutters Page 1'!FV9)</f>
        <v>#N/A</v>
      </c>
      <c r="FY9" s="351" t="e">
        <f>MATCH(G9,Data!$AAK$1:$AAM$1,0)</f>
        <v>#N/A</v>
      </c>
      <c r="FZ9" s="174" t="e">
        <f>MATCH(Q9,Data!$AAJ$2,0)</f>
        <v>#N/A</v>
      </c>
      <c r="GA9" s="351" t="e">
        <f>INDEX(Data!$AAK$2:$AAM$2, 'Shutters Page 1'!FZ9, 'Shutters Page 1'!FY9)</f>
        <v>#N/A</v>
      </c>
      <c r="GB9" s="351" t="e">
        <f>MATCH(G9,Data!$AAK$12:$AAM$12,0)</f>
        <v>#N/A</v>
      </c>
      <c r="GC9" s="174" t="e">
        <f>MATCH(Q9,Data!$AAJ$13,0)</f>
        <v>#N/A</v>
      </c>
      <c r="GD9" s="351" t="e">
        <f>INDEX(Data!$AAK$13:$AAM$13, 'Shutters Page 1'!GC9, 'Shutters Page 1'!GB9)</f>
        <v>#N/A</v>
      </c>
      <c r="GE9" s="162" t="e">
        <f>VLOOKUP(H9,Data!$AAR$1:$AAS$35,2,FALSE)</f>
        <v>#N/A</v>
      </c>
      <c r="GF9" s="162" t="e">
        <f t="shared" ref="GF9:GF23" si="50">IF(OR(AND(GE9=$GE$5,Q9=$GF$5)),GA9,IF(OR(AND(GE9=$GE$6,Q9=$GF$5)),GD9,IF(OR(AND(GE9=$GE$5,Q9&lt;&gt;$GF$5)),FU9,IF(OR(AND(GE9=$GE$6,Q9&lt;&gt;$GF$5)),FX9))))</f>
        <v>#N/A</v>
      </c>
      <c r="GG9" s="162" t="e">
        <f t="shared" ref="GG9:GG23" si="51">IF(G9=$GG$5,GF9,FU9)</f>
        <v>#N/A</v>
      </c>
      <c r="GH9" s="162" t="e">
        <f t="shared" ref="GH9:GH23" si="52">IF(G9=$GG$5,GG9,GA9)</f>
        <v>#N/A</v>
      </c>
      <c r="GI9" s="162" t="str">
        <f>IF(G9=Data!$NC$1,Data!$ND$1,Data!$NE$1)</f>
        <v>FauxwoodStile</v>
      </c>
      <c r="GJ9" s="55">
        <f>IF(COUNT(C9:C23)&gt;0,1,0)</f>
        <v>0</v>
      </c>
      <c r="GK9" s="55" t="s">
        <v>1922</v>
      </c>
      <c r="GL9" s="55" t="e">
        <f>VLOOKUP('Shutters Page 1'!H9,Data!$BD$81:$BE$115,2,FALSE)</f>
        <v>#N/A</v>
      </c>
      <c r="GM9" s="55" t="e">
        <f>IF(GL9=Data!$BB$80,"Yes", "No")</f>
        <v>#N/A</v>
      </c>
      <c r="GN9" s="55" t="e">
        <f>IF(GM9="Yes",Data!$EJ$57,'Shutters Page 1'!EB9)</f>
        <v>#N/A</v>
      </c>
      <c r="GQ9" s="55" t="b">
        <f>IF(G9=$GQ$6,Data!$EN$47,IF(G9='Shutters Page 1'!$GQ$7,Data!$EM$47))</f>
        <v>0</v>
      </c>
    </row>
    <row r="10" spans="1:199" ht="36.75" customHeight="1">
      <c r="A10" s="52">
        <v>2</v>
      </c>
      <c r="B10" s="13"/>
      <c r="C10" s="14"/>
      <c r="D10" s="14"/>
      <c r="E10" s="10"/>
      <c r="F10" s="10"/>
      <c r="G10" s="13"/>
      <c r="H10" s="555"/>
      <c r="I10" s="603"/>
      <c r="J10" s="14"/>
      <c r="K10" s="149" t="str">
        <f t="shared" si="0"/>
        <v/>
      </c>
      <c r="L10" s="15"/>
      <c r="M10" s="15"/>
      <c r="N10" s="15"/>
      <c r="O10" s="15"/>
      <c r="P10" s="15"/>
      <c r="Q10" s="486"/>
      <c r="R10" s="486"/>
      <c r="S10" s="13"/>
      <c r="T10" s="13"/>
      <c r="U10" s="13"/>
      <c r="V10" s="13"/>
      <c r="W10" s="15"/>
      <c r="X10" s="15"/>
      <c r="Y10" s="16"/>
      <c r="Z10" s="16"/>
      <c r="AA10" s="14"/>
      <c r="AB10" s="14"/>
      <c r="AC10" s="14"/>
      <c r="AD10" s="386"/>
      <c r="AE10" s="169" t="str">
        <f t="shared" si="1"/>
        <v/>
      </c>
      <c r="AF10" s="236"/>
      <c r="AG10" s="237"/>
      <c r="AI10" s="55">
        <f t="shared" si="2"/>
        <v>0</v>
      </c>
      <c r="AJ10" s="55">
        <f t="shared" si="3"/>
        <v>0</v>
      </c>
      <c r="AK10" s="55">
        <f>IF(P10&lt;&gt;"",VLOOKUP(P10,Data!$AAY$2:$AAZ$44,2,FALSE),0)</f>
        <v>0</v>
      </c>
      <c r="AL10" s="55" t="str">
        <f>IF(E10=Data!$BB$10,Data!$BC$10,Data!$BC$2)</f>
        <v>ShutterMaterial</v>
      </c>
      <c r="AP10" s="55" t="str">
        <f t="shared" ref="AP10:AP24" si="53">IF(N10=$AP$2,$AP$3,$AQ$3)</f>
        <v>SlidingSystemNA</v>
      </c>
      <c r="AV10" s="114" t="str">
        <f t="shared" si="4"/>
        <v/>
      </c>
      <c r="AW10" s="66" t="e">
        <f t="shared" si="5"/>
        <v>#N/A</v>
      </c>
      <c r="AX10" s="174" t="e">
        <f>VLOOKUP(Q10,Data!$MI$2:$MJ$4,2,FALSE)</f>
        <v>#N/A</v>
      </c>
      <c r="AY10" s="174" t="e">
        <f t="shared" si="6"/>
        <v>#N/A</v>
      </c>
      <c r="AZ10" s="174" t="e">
        <f>VLOOKUP(N10,Data!$BI$24:$BJ$30,2,FALSE)</f>
        <v>#N/A</v>
      </c>
      <c r="BA10" s="160" t="b">
        <f>IF(G10=Data!$BO$2,Data!$BS$2, IF('Shutters Page 1'!G10=Data!$BP$2,Data!$BT$2, IF('Shutters Page 1'!G10=Data!$BQ$2,Data!$BU$2)))</f>
        <v>0</v>
      </c>
      <c r="BB10" s="361" t="str">
        <f t="shared" si="7"/>
        <v>No</v>
      </c>
      <c r="BC10" s="160" t="e">
        <f t="shared" si="8"/>
        <v>#DIV/0!</v>
      </c>
      <c r="BD10" s="361" t="e">
        <f t="shared" si="9"/>
        <v>#DIV/0!</v>
      </c>
      <c r="BE10" s="160" t="e">
        <f t="shared" si="10"/>
        <v>#DIV/0!</v>
      </c>
      <c r="BF10" s="361" t="str">
        <f t="shared" si="11"/>
        <v>No</v>
      </c>
      <c r="BG10" s="160" t="str">
        <f t="shared" si="12"/>
        <v>NotRequired</v>
      </c>
      <c r="BH10" s="160" t="b">
        <f>IF(G10=Data!$BO$2,Data!$CM$2, IF('Shutters Page 1'!G10=Data!$BP$2,Data!$CN$2, IF('Shutters Page 1'!G10=Data!$BQ$2,Data!$CO$2)))</f>
        <v>0</v>
      </c>
      <c r="BI10" s="160" t="e">
        <f t="shared" ref="BI10:BI23" si="54">IF(OR(AND(BA10="FauxwoodY",BD10="Yes")), "Highlight","NoHighlight")</f>
        <v>#DIV/0!</v>
      </c>
      <c r="BJ10" s="161" t="str">
        <f t="shared" si="13"/>
        <v>NoHighlight</v>
      </c>
      <c r="BK10" s="361" t="str">
        <f t="shared" si="14"/>
        <v>FauxwoodRPNo</v>
      </c>
      <c r="BL10" s="161" t="str">
        <f>IF(SUM(--ISNUMBER( SEARCH({"t","T"},P10))),"Yes","No")</f>
        <v>No</v>
      </c>
      <c r="BM10" s="161" t="str">
        <f t="shared" si="15"/>
        <v>OK</v>
      </c>
      <c r="BN10" s="161" t="str">
        <f t="shared" si="16"/>
        <v>OK</v>
      </c>
      <c r="BO10" s="161" t="str">
        <f t="shared" si="17"/>
        <v>OK</v>
      </c>
      <c r="BP10" s="161" t="e">
        <f>IF(OR(AND(F10&gt;1,#REF!="L",#REF!="l"),AND(F10&gt;1,#REF!="R",#REF!="r"),AND(F10&gt;2,#REF!="LR",#REF!="lr")), "Error","OK")</f>
        <v>#REF!</v>
      </c>
      <c r="BQ10" s="161" t="str">
        <f t="shared" si="18"/>
        <v>FauxwoodAINo</v>
      </c>
      <c r="BR10" s="161" t="str">
        <f>IF(SUM(--ISNUMBER(SEARCH({"combo","Combo","COMBO"}, B27))),"Yes","No")</f>
        <v>No</v>
      </c>
      <c r="BS10" s="161" t="str">
        <f t="shared" ref="BS10:BS23" si="55">IF(OR(AND(BL10="Yes",BR10="Yes")),"Yes","No")</f>
        <v>No</v>
      </c>
      <c r="BT10" s="161" t="str">
        <f>IF(SUM(--ISNUMBER( SEARCH({"c","C","b","B"},#REF!))),"Yes","No")</f>
        <v>No</v>
      </c>
      <c r="BU10" s="162">
        <f t="shared" si="19"/>
        <v>0</v>
      </c>
      <c r="BV10" s="174" t="str">
        <f>IF(N10=Data!$BI$3,Data!$DR$3,IF(N10=Data!$BI$4,Data!$DS$3,IF(N10=Data!$BI$5,Data!$DT$3,IF(N10=Data!$BI$6,Data!$DU$3,IF(N10=Data!$BI$7,Data!$DV$3, IF(N10=Data!$BI$8,Data!$DX$3, IF(N10=Data!$BI$9,Data!$DW$3, "")))))))</f>
        <v/>
      </c>
      <c r="BW10" s="174" t="str">
        <f>IF(N10=Data!$BI$3,Data!$DY$3,IF(N10=Data!$BI$4,Data!$DZ$3,IF(N10=Data!$BI$5,Data!$EA$3,IF(N10=Data!$BI$6,Data!$EB$3,IF(N10=Data!$BI$7,Data!$EC$3,IF(N10=Data!$BI$8,Data!$EE$3, IF(N10=Data!$BI$9,Data!$ED$3,"")))))))</f>
        <v/>
      </c>
      <c r="BX10" s="162">
        <f t="shared" si="20"/>
        <v>0</v>
      </c>
      <c r="BY10" s="162">
        <f t="shared" si="21"/>
        <v>0</v>
      </c>
      <c r="BZ10" s="174" t="e">
        <f t="shared" si="22"/>
        <v>#DIV/0!</v>
      </c>
      <c r="CA10" s="351" t="b">
        <f>IF(G10=Data!$EU$2,Data!$ES$2,IF(G10=Data!$EU$3,Data!$ER$2, IF(G10=Data!$EU$5,Data!$ET$2, IF(G10=Data!$EU$4,Data!$EQ$2,IF(G10=Data!$EU$6,Data!$ER$2)))))</f>
        <v>0</v>
      </c>
      <c r="CB10" s="351" t="b">
        <f>IF(G10=Data!$EU$2,Data!$EW$2,IF(G10=Data!$EU$3,Data!$EX$2,IF(G10=Data!$EU$4,Data!$EY$2, IF(G10=Data!$EU$5,Data!$EY$2,IF(G10=Data!$EU$6,Data!$EX$2)))))</f>
        <v>0</v>
      </c>
      <c r="CC10" s="174" t="e">
        <f>VLOOKUP(M10,Data!$EJ$3:$EK$15,2,FALSE)</f>
        <v>#N/A</v>
      </c>
      <c r="CD10" s="174" t="str">
        <f>IF(J10="114mm",VLOOKUP(H10,Data!$FA$2:$FB$18,2,FALSE),"OK")</f>
        <v>OK</v>
      </c>
      <c r="CE10" s="174" t="e">
        <f t="shared" si="23"/>
        <v>#DIV/0!</v>
      </c>
      <c r="CF10" s="174" t="str">
        <f>IF(OR(AND(S10="",Q10&lt;&gt;"")),VLOOKUP(Q10,Data!$FC$2:$FD$19,2,FALSE),"")</f>
        <v/>
      </c>
      <c r="CG10" s="174" t="str">
        <f>IF(N10=Data!$BI$3,Data!$FJ$1,IF(N10=Data!$BI$4,Data!$FK$1,IF(N10=Data!$BI$5,Data!$FL$1,IF(N10=Data!$BI$6,Data!$FM$1,IF(N10=Data!$BI$7,Data!$FN$1, IF(N10=Data!$BI$8,Data!$FO$1, IF(N10=Data!$BI$9,Data!$FI$1, "")))))))</f>
        <v/>
      </c>
      <c r="CH10" s="174" t="str">
        <f>IF(SUM(--ISNUMBER(SEARCH({"z","Z"}, Q10))),"Yes","No")</f>
        <v>No</v>
      </c>
      <c r="CI10" s="174" t="str">
        <f t="shared" si="24"/>
        <v>OK</v>
      </c>
      <c r="CJ10" s="174">
        <f t="shared" si="25"/>
        <v>0</v>
      </c>
      <c r="CK10" s="174" t="e">
        <f>VLOOKUP(P10,Data!$DO$4:$DP$157,2,FALSE)</f>
        <v>#N/A</v>
      </c>
      <c r="CL10" s="174" t="e">
        <f t="shared" si="26"/>
        <v>#N/A</v>
      </c>
      <c r="CM10" s="162"/>
      <c r="CN10" s="162" t="s">
        <v>660</v>
      </c>
      <c r="CO10" s="162" t="str">
        <f>IF(COUNTIF(M9:M23,Data!EJ5),Data!EL5,"")</f>
        <v/>
      </c>
      <c r="CP10" s="366" t="str">
        <f t="shared" si="27"/>
        <v>OK</v>
      </c>
      <c r="CQ10" s="174" t="b">
        <f t="shared" si="28"/>
        <v>0</v>
      </c>
      <c r="CR10" s="174">
        <f t="shared" si="29"/>
        <v>0</v>
      </c>
      <c r="CS10" s="174">
        <f t="shared" si="30"/>
        <v>1</v>
      </c>
      <c r="CT10" s="174">
        <f t="shared" ref="CT10:CT19" si="56">CQ10*CR10*CS10</f>
        <v>0</v>
      </c>
      <c r="CU10" s="162" t="e">
        <f t="shared" si="31"/>
        <v>#DIV/0!</v>
      </c>
      <c r="CV10" s="162" t="e">
        <f>VLOOKUP(H10,Data!$BD$81:$BE$111,2,FALSE)</f>
        <v>#N/A</v>
      </c>
      <c r="CW10" s="174" t="str">
        <f t="shared" si="32"/>
        <v/>
      </c>
      <c r="CX10" s="292" t="str">
        <f>IF(H10=Data!$BE$3,Data!$HQ$2, IF(H10=Data!$BE$4,Data!$HP$2, IF(H10=Data!$BE$5,Data!$HR$2, IF(H10=Data!$BE$6,Data!$HO$2))))</f>
        <v>Super WhiteNA</v>
      </c>
      <c r="CY10" s="351" t="b">
        <f>IF(H10=Data!$BH$3,Data!$HU$2, IF(H10=Data!$BH$4,Data!$HT$2, IF(H10=Data!$BH$5,Data!$HS$2)))</f>
        <v>0</v>
      </c>
      <c r="CZ10" s="351" t="b">
        <f>IF(H10=Data!$BF$3,Data!$HQ$16, IF(H10=Data!$BF$4,Data!$HP$16, IF(H10=Data!$BF$5,Data!$HR$16, IF(H10=Data!$BF$6,Data!$HO$16))))</f>
        <v>0</v>
      </c>
      <c r="DA10" s="351" t="b">
        <f>IF(G10=Data!$BC$3,'Shutters Page 1'!CW10,IF(G10=Data!$BC$4,'Shutters Page 1'!CX10,IF(G10=Data!$BC$6,'Shutters Page 1'!CY10, IF(G10=Data!$BC$5, 'Shutters Page 1'!CX10,IF(G10=Data!$BC$7,'Shutters Page 1'!CX10)))))</f>
        <v>0</v>
      </c>
      <c r="DB10" s="162" t="e">
        <f>IF(OR(AND(L10&gt;0,#REF!="")), "Error","OK")</f>
        <v>#REF!</v>
      </c>
      <c r="DC10" s="174" t="e">
        <f>IF(COUNTIF(#REF!,Data!$CX$6),"Yes","")</f>
        <v>#REF!</v>
      </c>
      <c r="DD10" s="55" t="str">
        <f t="shared" si="33"/>
        <v/>
      </c>
      <c r="DG10" s="55" t="str">
        <f>IF(N10=Data!$BI$5,"Yes",IF(N10=Data!$BI$6,"Yes","No"))</f>
        <v>No</v>
      </c>
      <c r="DH10" s="66" t="b">
        <f>IF(N10=Data!$BI$3,Data!$JB$2,IF(N10=Data!$BI$4,Data!$JC$2,IF(N10=Data!$BI$5,Data!$JD$2,IF(N10=Data!$BI$6,DI10,IF(N10=Data!$BI$7,Data!$JF$2, IF(N10=Data!$BI$8,Data!$JA$2, IF(N10=Data!$BI$9,Data!$JG$2)))))))</f>
        <v>0</v>
      </c>
      <c r="DI10" s="55" t="e">
        <f>VLOOKUP(P10,Data!$AAY$2:$ABA$44,3,FALSE)</f>
        <v>#N/A</v>
      </c>
      <c r="DK10" s="66" t="e">
        <f>VLOOKUP(P10,Data!$DO$4:$DQ$157,3,FALSE)</f>
        <v>#N/A</v>
      </c>
      <c r="DL10" s="55" t="e">
        <f t="shared" si="34"/>
        <v>#N/A</v>
      </c>
      <c r="DM10" s="55" t="e">
        <f t="shared" ref="DM10:DM22" si="57">IF(DL10=0,"OK", "Layout Code &amp; T Post Quantity Issue")</f>
        <v>#N/A</v>
      </c>
      <c r="DN10" s="162" t="b">
        <f>IF(Q10=Data!$BK$3,Data!$JH$2,IF(Q10=Data!$BK$4,Data!$JI$2,IF(Q10=Data!$BK$5,Data!$JJ$2,IF(Q10=Data!$BK$6,Data!$JK$2,IF(Q10=Data!$BK$7,Data!$JL$2,IF(Q10=Data!$BK$8,Data!$JM$2,IF(Q10=Data!$BK$9,Data!$JN$2,IF(Q10=Data!$BK$10,Data!$JO$2,IF(Q10=Data!$BK$11,Data!$JP$2,IF(Q10=Data!$BK$12,Data!$JQ$2,IF(Q10=Data!$BK$13,Data!$JR$2,IF(Q10=Data!$BK$14,Data!$JS$2,IF(Q10=Data!$BK$15,Data!$JT$2,IF(Q10=Data!$BK$16,Data!$JU$2,IF(Q10=Data!$BK$17,Data!$JV$2,IF(Q10=Data!$BK$18,Data!$JW$2, IF(Q10=Data!$BK$19,Data!$JX$2, IF(Q10=Data!$BK$20,Data!$JY$2, IF(Q10=Data!$BK$21,Data!$JN$2, IF(Q10=Data!$BK$22,Data!$JN$2, IF(Q10=Data!$BK$23,Data!$JN$2, IF(Q10=Data!$BK$24,Data!$JL$19))))))))))))))))))))))</f>
        <v>0</v>
      </c>
      <c r="DO10" s="55" t="str">
        <f>Data!$JH$19</f>
        <v>LRFrameAir</v>
      </c>
      <c r="DP10" s="55" t="b">
        <f>IF(G10=Data!$JH$18,'Shutters Page 1'!DO10,'Shutters Page 1'!DN10)</f>
        <v>0</v>
      </c>
      <c r="DR10" s="174" t="str">
        <f t="shared" ref="DR10:DR23" si="58">IF(COUNTIF(BM10:BO10,$DR$7),"Required","")</f>
        <v/>
      </c>
      <c r="DS10" s="174" t="e">
        <f t="shared" ref="DS10:DS23" si="59">IF(OR(AND(DM10="Layout Code &amp; T Post Quantity Issue"), AND(DR10="Required")),"Yes","No")</f>
        <v>#N/A</v>
      </c>
      <c r="DT10" s="174" t="str">
        <f t="shared" si="35"/>
        <v>OK</v>
      </c>
      <c r="DU10" s="174" t="str">
        <f t="shared" si="36"/>
        <v>OK</v>
      </c>
      <c r="DV10" s="174" t="str">
        <f t="shared" si="37"/>
        <v>OK</v>
      </c>
      <c r="DW10" s="174" t="str">
        <f t="shared" si="38"/>
        <v>OK</v>
      </c>
      <c r="DX10" s="66" t="b">
        <f>IF(N10=Data!$LW$2,Data!$LX$1,IF(N10=Data!$LW$3,Data!$LY$1,IF(N10=Data!$LW$4,Data!$LZ$1,IF(N10=Data!$LW$5,Data!$MA$1,IF(N10=Data!$LW$6,Data!$MB$1,IF(N10=Data!$LW$7,Data!$MC$1, IF(N10=Data!$LW$8,Data!$MX$1)))))))</f>
        <v>0</v>
      </c>
      <c r="DY10" s="66" t="b">
        <f>IF(N10=Data!$LW$2,Data!$LX$147,IF(N10=Data!$LW$7,Data!$MC$1))</f>
        <v>0</v>
      </c>
      <c r="DZ10" s="66" t="b">
        <f>IF(G10=Data!$BC$3,'Shutters Page 1'!DX10,IF(G10=Data!$BC$5,'Shutters Page 1'!DY10))</f>
        <v>0</v>
      </c>
      <c r="EA10" s="66" t="b">
        <f>IF(E10=Data!$MD$2,Data!$ME$2, IF(E10=Data!$MD$3,Data!$MF$2, IF(E10=Data!$MD$4,Data!$MG$2)))</f>
        <v>0</v>
      </c>
      <c r="EB10" s="162" t="str">
        <f>IF(E10="MS",Data!$AK$1,IF(G10=Data!$BC$5,Data!$EJ$40,IF(G10=Data!$BC$4,Data!$EJ$20,Data!$EJ$2)))</f>
        <v>Special_Window_Timber</v>
      </c>
      <c r="EC10" s="66" t="str">
        <f>IF(OR(AND(T10="",Q10&lt;&gt;"")),VLOOKUP(Q10,Data!$FC$2:$FD$18,2,FALSE),"")</f>
        <v/>
      </c>
      <c r="ED10" s="66" t="str">
        <f>IF(OR(AND(U10="",Q10&lt;&gt;"")),VLOOKUP(Q10,Data!$FC$2:$FD$18,2,FALSE),"")</f>
        <v/>
      </c>
      <c r="EE10" s="66" t="str">
        <f>IF(OR(AND(V10="",Q10&lt;&gt;"")),VLOOKUP(Q10,Data!$FC$2:$FD$18,2,FALSE),"")</f>
        <v/>
      </c>
      <c r="EF10" s="162" t="e">
        <f>VLOOKUP(N10,Data!$MK$2:$ML$8,2,FALSE)</f>
        <v>#N/A</v>
      </c>
      <c r="EG10" s="66" t="e">
        <f>VLOOKUP(P10,Data!$DO$4:$DO$158,1,FALSE)</f>
        <v>#N/A</v>
      </c>
      <c r="EH10" s="66" t="e">
        <f t="shared" si="39"/>
        <v>#N/A</v>
      </c>
      <c r="EI10" s="55" t="str">
        <f t="shared" si="40"/>
        <v/>
      </c>
      <c r="EJ10" s="162" t="str">
        <f t="shared" si="41"/>
        <v>OK</v>
      </c>
      <c r="EK10" s="405" t="str">
        <f>Data!$JI$19</f>
        <v>TopBottomFrameAir</v>
      </c>
      <c r="EL10" s="405" t="b">
        <f>IF(G10=Data!$JH$18,EK10,EM10)</f>
        <v>0</v>
      </c>
      <c r="EM10" s="174" t="b">
        <f>IF(Q10=Data!$NN$3,Data!$NO$2, IF(Q10=Data!$NN$4,Data!$NP$2, IF(Q10=Data!$NN$5,Data!$NQ$2, IF(Q10=Data!$NN$6,Data!$NR$2, IF(Q10=Data!$NN$7,Data!$NS$2, IF(Q10=Data!$NN$8,Data!$NT$2, IF(Q10=Data!$NN$9,Data!$NU$2, IF(Q10=Data!$NN$10,Data!$NV$2, IF(Q10=Data!$NN$11,Data!$NW$2, IF(Q10=Data!$NN$12,Data!$NX$2, IF(Q10=Data!$NN$13,Data!$NY$2, IF(Q10=Data!$NN$14,Data!$NZ$2, IF(Q10=Data!$NN$15,Data!$OA$2, IF(Q10=Data!$NN$16,Data!$OB$2, IF(Q10=Data!$NN$17,Data!$OC$2, IF(Q10=Data!$NN$18,Data!$OD$2, IF(Q10=Data!$NN$19,Data!$OE$2, IF(Q10=Data!$NN$20,Data!$OG$2, IF(Q10=Data!$NN$25,Data!$NT$2, IF(Q10=Data!$NN$26,Data!$NT$2, IF(Q10=Data!$NN$27,Data!$NT$2, IF(Q10=Data!$NN$28,Data!$OH$2))))))))))))))))))))))</f>
        <v>0</v>
      </c>
      <c r="EN10" s="174" t="b">
        <f>IF(O10=$EN$7,Data!$OD$15,'Shutters Page 1'!EO10)</f>
        <v>0</v>
      </c>
      <c r="EO10" s="174" t="b">
        <f>IF(Q10=Data!$NN$3,Data!$NO$15,IF(Q10=Data!$NN$4,Data!$NP$15,IF(Q10=Data!$NN$5,Data!$NQ$15,IF(Q10=Data!$NN$6,Data!$NR$15,IF(Q10=Data!$NN$7,Data!$NS$15,IF(Q10=Data!$NN$8,Data!$NT$15,IF(Q10=Data!$NN$9,Data!$NU$15,IF(Q10=Data!$NN$10,Data!$NV$15,IF(Q10=Data!$NN$11,Data!$NW$15,IF(Q10=Data!$NN$12,Data!$NX$15,IF(Q10=Data!$NN$13,Data!$NY$15,IF(Q10=Data!$NN$14,Data!$NZ$15,IF(N10=Data!$NN$22,Data!$OA$15,IF(N10=Data!$NN$23,Data!$OB$15,IF(Q10=Data!$NN$19,Data!$OC$15, IF(Q10=Data!$NN$20,Data!$OG$15,IF(Q10=Data!$NN$25,Data!$NT$15,IF(Q10=Data!$NN$26,Data!$NT$15,IF(Q10=Data!$NN$27,Data!$NT$15,IF(Q10=Data!$NN$28,Data!$OH$15))))))))))))))))))))</f>
        <v>0</v>
      </c>
      <c r="EP10" s="406" t="str">
        <f>Data!$JI$19</f>
        <v>TopBottomFrameAir</v>
      </c>
      <c r="EQ10" s="406" t="b">
        <f>IF(G10=Data!$JH$18,EP10,EN10)</f>
        <v>0</v>
      </c>
      <c r="ER10" s="351" t="e">
        <f>MATCH(G10,Data!$CW$10:$CW$14,0)</f>
        <v>#N/A</v>
      </c>
      <c r="ES10" s="174" t="e">
        <f>MATCH(J10,Data!$CX$9:$DA$9,0)</f>
        <v>#N/A</v>
      </c>
      <c r="ET10" s="355" t="e">
        <f>INDEX(Data!$CX$10:$DA$14,'Shutters Page 1'!ER10,'Shutters Page 1'!ES10)</f>
        <v>#N/A</v>
      </c>
      <c r="EU10" s="355" t="e">
        <f>VLOOKUP(H10,Data!$BD$81:$BE$115,2,FALSE)</f>
        <v>#N/A</v>
      </c>
      <c r="EV10" s="355" t="e">
        <f>IF(EU10=Data!$BB$80,Data!$CW$20,'Shutters Page 1'!ET10)</f>
        <v>#N/A</v>
      </c>
      <c r="EW10" s="174" t="str">
        <f>IF(SUM(--ISNUMBER(SEARCH({"combo","Combo","COMBO"}, B27))),"Yes","No")</f>
        <v>No</v>
      </c>
      <c r="EX10" s="174" t="str">
        <f>IF(SUM(--ISNUMBER(SEARCH({"combo","Combo","COMBO"}, F27))),"Yes","No")</f>
        <v>No</v>
      </c>
      <c r="EY10" s="174" t="str">
        <f t="shared" ref="EY10:EY23" si="60">IF(COUNTIF(EW10:EX10,$EY$7),"Yes","No")</f>
        <v>No</v>
      </c>
      <c r="EZ10" s="162">
        <f t="shared" si="42"/>
        <v>1</v>
      </c>
      <c r="FA10" s="162" t="e">
        <f t="shared" si="43"/>
        <v>#DIV/0!</v>
      </c>
      <c r="FB10" s="174" t="str">
        <f t="shared" si="44"/>
        <v/>
      </c>
      <c r="FC10" s="351" t="str">
        <f t="shared" si="45"/>
        <v/>
      </c>
      <c r="FD10" s="351" t="str">
        <f t="shared" si="46"/>
        <v/>
      </c>
      <c r="FE10" s="174" t="str">
        <f t="shared" si="47"/>
        <v/>
      </c>
      <c r="FF10" s="174" t="str">
        <f t="shared" si="48"/>
        <v/>
      </c>
      <c r="FG10" s="174" t="str">
        <f t="shared" si="49"/>
        <v/>
      </c>
      <c r="FH10" s="278" t="str">
        <f t="shared" ref="FH10:FH23" si="61">IF(COUNTIF(FB10:FG10,$EY$7),"Yes","No")</f>
        <v>No</v>
      </c>
      <c r="FI10" s="351" t="e">
        <f>MATCH(G10,Data!$FH$18:$FL$18,0)</f>
        <v>#N/A</v>
      </c>
      <c r="FJ10" s="174" t="e">
        <f>MATCH(N10,Data!$FG$19:$FG$25,0)</f>
        <v>#N/A</v>
      </c>
      <c r="FK10" s="351" t="e">
        <f>INDEX(Data!$FH$19:$FL$25,'Shutters Page 1'!FJ10,'Shutters Page 1'!FI10)</f>
        <v>#N/A</v>
      </c>
      <c r="FL10" s="411" t="e">
        <f>MATCH(G10,Data!$FH$53:$FI$53,0)</f>
        <v>#N/A</v>
      </c>
      <c r="FM10" s="411" t="e">
        <f>MATCH(N10,Data!$FG$54:$FG$60,0)</f>
        <v>#N/A</v>
      </c>
      <c r="FN10" s="411" t="e">
        <f>INDEX(Data!$FH$54:$FI$60,'Shutters Page 1'!FM10,'Shutters Page 1'!FL10)</f>
        <v>#N/A</v>
      </c>
      <c r="FO10" s="411" t="e">
        <f>IF(E10=Data!$FH$35,'Shutters Page 1'!FN10,'Shutters Page 1'!FK10)</f>
        <v>#N/A</v>
      </c>
      <c r="FP10" s="351" t="e">
        <f>MATCH(G10,Data!$ME$26:$MG$26,0)</f>
        <v>#N/A</v>
      </c>
      <c r="FQ10" s="174" t="e">
        <f>MATCH(E10,Data!$MD$27:$MD$29,0)</f>
        <v>#N/A</v>
      </c>
      <c r="FR10" s="351" t="e">
        <f>INDEX(Data!$ME$27:$MG$29, 'Shutters Page 1'!FQ10, 'Shutters Page 1'!FP10)</f>
        <v>#N/A</v>
      </c>
      <c r="FS10" s="351" t="e">
        <f>MATCH(G10,Data!$AAF$1:$AAH$1,0)</f>
        <v>#N/A</v>
      </c>
      <c r="FT10" s="174" t="e">
        <f>MATCH(N10,Data!$AAE$2:$AAE$8,0)</f>
        <v>#N/A</v>
      </c>
      <c r="FU10" s="351" t="e">
        <f>INDEX(Data!$AAF$2:$AAH$8, 'Shutters Page 1'!FT10, 'Shutters Page 1'!FS10)</f>
        <v>#N/A</v>
      </c>
      <c r="FV10" s="351" t="e">
        <f>MATCH(G10,Data!$AAF$12:$AAH$12,0)</f>
        <v>#N/A</v>
      </c>
      <c r="FW10" s="174" t="e">
        <f>MATCH(N10,Data!$AAE$13:$AAE$19,0)</f>
        <v>#N/A</v>
      </c>
      <c r="FX10" s="351" t="e">
        <f>INDEX(Data!$AAF$13:$AAH$19, 'Shutters Page 1'!FW10, 'Shutters Page 1'!FV10)</f>
        <v>#N/A</v>
      </c>
      <c r="FY10" s="351" t="e">
        <f>MATCH(G10,Data!$AAK$1:$AAM$1,0)</f>
        <v>#N/A</v>
      </c>
      <c r="FZ10" s="174" t="e">
        <f>MATCH(Q10,Data!$AAJ$2,0)</f>
        <v>#N/A</v>
      </c>
      <c r="GA10" s="351" t="e">
        <f>INDEX(Data!$AAK$2:$AAM$2, 'Shutters Page 1'!FZ10, 'Shutters Page 1'!FY10)</f>
        <v>#N/A</v>
      </c>
      <c r="GB10" s="351" t="e">
        <f>MATCH(G10,Data!$AAK$12:$AAM$12,0)</f>
        <v>#N/A</v>
      </c>
      <c r="GC10" s="174" t="e">
        <f>MATCH(Q10,Data!$AAJ$13,0)</f>
        <v>#N/A</v>
      </c>
      <c r="GD10" s="351" t="e">
        <f>INDEX(Data!$AAK$13:$AAM$13, 'Shutters Page 1'!GC10, 'Shutters Page 1'!GB10)</f>
        <v>#N/A</v>
      </c>
      <c r="GE10" s="162" t="e">
        <f>VLOOKUP(H10,Data!$AAR$1:$AAS$35,2,FALSE)</f>
        <v>#N/A</v>
      </c>
      <c r="GF10" s="162" t="e">
        <f t="shared" si="50"/>
        <v>#N/A</v>
      </c>
      <c r="GG10" s="162" t="e">
        <f t="shared" si="51"/>
        <v>#N/A</v>
      </c>
      <c r="GH10" s="162" t="e">
        <f t="shared" si="52"/>
        <v>#N/A</v>
      </c>
      <c r="GI10" s="162" t="str">
        <f>IF(G10=Data!$NC$1,Data!$ND$1,Data!$NE$1)</f>
        <v>FauxwoodStile</v>
      </c>
      <c r="GJ10" s="55">
        <f>IF(COUNT('Shutters Page 2'!C9:C23)&gt;0,2,0)</f>
        <v>0</v>
      </c>
      <c r="GK10" s="55" t="s">
        <v>1923</v>
      </c>
      <c r="GL10" s="55" t="e">
        <f>VLOOKUP('Shutters Page 1'!H10,Data!$BD$81:$BE$115,2,FALSE)</f>
        <v>#N/A</v>
      </c>
      <c r="GM10" s="55" t="e">
        <f>IF(GL10=Data!$BB$80,"Yes", "No")</f>
        <v>#N/A</v>
      </c>
      <c r="GN10" s="55" t="e">
        <f>IF(GM10="Yes",Data!$EJ$57,'Shutters Page 1'!EB10)</f>
        <v>#N/A</v>
      </c>
      <c r="GQ10" s="55" t="b">
        <f>IF(G10=$GQ$6,Data!$EN$47,IF(G10='Shutters Page 1'!$GQ$7,Data!$EM$47))</f>
        <v>0</v>
      </c>
    </row>
    <row r="11" spans="1:199" ht="36.75" customHeight="1">
      <c r="A11" s="53">
        <v>3</v>
      </c>
      <c r="B11" s="17"/>
      <c r="C11" s="14"/>
      <c r="D11" s="14"/>
      <c r="E11" s="10"/>
      <c r="F11" s="10"/>
      <c r="G11" s="13"/>
      <c r="H11" s="555"/>
      <c r="I11" s="603"/>
      <c r="J11" s="14"/>
      <c r="K11" s="149" t="str">
        <f t="shared" si="0"/>
        <v/>
      </c>
      <c r="L11" s="15"/>
      <c r="M11" s="15"/>
      <c r="N11" s="15"/>
      <c r="O11" s="15"/>
      <c r="P11" s="15"/>
      <c r="Q11" s="486"/>
      <c r="R11" s="486"/>
      <c r="S11" s="13"/>
      <c r="T11" s="13"/>
      <c r="U11" s="13"/>
      <c r="V11" s="13"/>
      <c r="W11" s="15"/>
      <c r="X11" s="15"/>
      <c r="Y11" s="16"/>
      <c r="Z11" s="16"/>
      <c r="AA11" s="14"/>
      <c r="AB11" s="14"/>
      <c r="AC11" s="14"/>
      <c r="AD11" s="386"/>
      <c r="AE11" s="169" t="str">
        <f t="shared" si="1"/>
        <v/>
      </c>
      <c r="AF11" s="236"/>
      <c r="AG11" s="237"/>
      <c r="AI11" s="55">
        <f t="shared" si="2"/>
        <v>0</v>
      </c>
      <c r="AJ11" s="55">
        <f t="shared" si="3"/>
        <v>0</v>
      </c>
      <c r="AK11" s="55">
        <f>IF(P11&lt;&gt;"",VLOOKUP(P11,Data!$AAY$2:$AAZ$44,2,FALSE),0)</f>
        <v>0</v>
      </c>
      <c r="AL11" s="55" t="str">
        <f>IF(E11=Data!$BB$10,Data!$BC$10,Data!$BC$2)</f>
        <v>ShutterMaterial</v>
      </c>
      <c r="AP11" s="55" t="str">
        <f t="shared" si="53"/>
        <v>SlidingSystemNA</v>
      </c>
      <c r="AV11" s="114" t="str">
        <f t="shared" si="4"/>
        <v/>
      </c>
      <c r="AW11" s="66" t="e">
        <f t="shared" si="5"/>
        <v>#N/A</v>
      </c>
      <c r="AX11" s="174" t="e">
        <f>VLOOKUP(Q11,Data!$MI$2:$MJ$4,2,FALSE)</f>
        <v>#N/A</v>
      </c>
      <c r="AY11" s="174" t="e">
        <f t="shared" si="6"/>
        <v>#N/A</v>
      </c>
      <c r="AZ11" s="174" t="e">
        <f>VLOOKUP(N11,Data!$BI$24:$BJ$30,2,FALSE)</f>
        <v>#N/A</v>
      </c>
      <c r="BA11" s="160" t="b">
        <f>IF(G11=Data!$BO$2,Data!$BS$2, IF('Shutters Page 1'!G11=Data!$BP$2,Data!$BT$2, IF('Shutters Page 1'!G11=Data!$BQ$2,Data!$BU$2)))</f>
        <v>0</v>
      </c>
      <c r="BB11" s="361" t="str">
        <f t="shared" si="7"/>
        <v>No</v>
      </c>
      <c r="BC11" s="160" t="e">
        <f t="shared" si="8"/>
        <v>#DIV/0!</v>
      </c>
      <c r="BD11" s="361" t="e">
        <f t="shared" si="9"/>
        <v>#DIV/0!</v>
      </c>
      <c r="BE11" s="160" t="e">
        <f t="shared" si="10"/>
        <v>#DIV/0!</v>
      </c>
      <c r="BF11" s="361" t="str">
        <f t="shared" si="11"/>
        <v>No</v>
      </c>
      <c r="BG11" s="160" t="str">
        <f t="shared" si="12"/>
        <v>NotRequired</v>
      </c>
      <c r="BH11" s="160" t="b">
        <f>IF(G11=Data!$BO$2,Data!$CM$2, IF('Shutters Page 1'!G11=Data!$BP$2,Data!$CN$2, IF('Shutters Page 1'!G11=Data!$BQ$2,Data!$CO$2)))</f>
        <v>0</v>
      </c>
      <c r="BI11" s="160" t="e">
        <f t="shared" si="54"/>
        <v>#DIV/0!</v>
      </c>
      <c r="BJ11" s="161" t="str">
        <f t="shared" si="13"/>
        <v>NoHighlight</v>
      </c>
      <c r="BK11" s="361" t="str">
        <f t="shared" si="14"/>
        <v>FauxwoodRPNo</v>
      </c>
      <c r="BL11" s="161" t="str">
        <f>IF(SUM(--ISNUMBER( SEARCH({"t","T"},P11))),"Yes","No")</f>
        <v>No</v>
      </c>
      <c r="BM11" s="161" t="str">
        <f t="shared" si="15"/>
        <v>OK</v>
      </c>
      <c r="BN11" s="161" t="str">
        <f t="shared" si="16"/>
        <v>OK</v>
      </c>
      <c r="BO11" s="161" t="str">
        <f t="shared" si="17"/>
        <v>OK</v>
      </c>
      <c r="BP11" s="161" t="e">
        <f>IF(OR(AND(F11&gt;1,#REF!="L",#REF!="l"),AND(F11&gt;1,#REF!="R",#REF!="r"),AND(F11&gt;2,#REF!="LR",#REF!="lr")), "Error","OK")</f>
        <v>#REF!</v>
      </c>
      <c r="BQ11" s="161" t="str">
        <f t="shared" si="18"/>
        <v>FauxwoodAINo</v>
      </c>
      <c r="BR11" s="161" t="str">
        <f>IF(SUM(--ISNUMBER(SEARCH({"combo","Combo","COMBO"}, B28))),"Yes","No")</f>
        <v>No</v>
      </c>
      <c r="BS11" s="161" t="str">
        <f t="shared" si="55"/>
        <v>No</v>
      </c>
      <c r="BT11" s="161" t="str">
        <f>IF(SUM(--ISNUMBER( SEARCH({"c","C","b","B"},#REF!))),"Yes","No")</f>
        <v>No</v>
      </c>
      <c r="BU11" s="162">
        <f t="shared" si="19"/>
        <v>0</v>
      </c>
      <c r="BV11" s="174" t="str">
        <f>IF(N11=Data!$BI$3,Data!$DR$3,IF(N11=Data!$BI$4,Data!$DS$3,IF(N11=Data!$BI$5,Data!$DT$3,IF(N11=Data!$BI$6,Data!$DU$3,IF(N11=Data!$BI$7,Data!$DV$3, IF(N11=Data!$BI$8,Data!$DX$3, IF(N11=Data!$BI$9,Data!$DW$3, "")))))))</f>
        <v/>
      </c>
      <c r="BW11" s="174" t="str">
        <f>IF(N11=Data!$BI$3,Data!$DY$3,IF(N11=Data!$BI$4,Data!$DZ$3,IF(N11=Data!$BI$5,Data!$EA$3,IF(N11=Data!$BI$6,Data!$EB$3,IF(N11=Data!$BI$7,Data!$EC$3,IF(N11=Data!$BI$8,Data!$EE$3, IF(N11=Data!$BI$9,Data!$ED$3,"")))))))</f>
        <v/>
      </c>
      <c r="BX11" s="162">
        <f t="shared" si="20"/>
        <v>0</v>
      </c>
      <c r="BY11" s="162">
        <f t="shared" si="21"/>
        <v>0</v>
      </c>
      <c r="BZ11" s="174" t="e">
        <f t="shared" si="22"/>
        <v>#DIV/0!</v>
      </c>
      <c r="CA11" s="351" t="b">
        <f>IF(G11=Data!$EU$2,Data!$ES$2,IF(G11=Data!$EU$3,Data!$ER$2, IF(G11=Data!$EU$5,Data!$ET$2, IF(G11=Data!$EU$4,Data!$EQ$2,IF(G11=Data!$EU$6,Data!$ER$2)))))</f>
        <v>0</v>
      </c>
      <c r="CB11" s="351" t="b">
        <f>IF(G11=Data!$EU$2,Data!$EW$2,IF(G11=Data!$EU$3,Data!$EX$2,IF(G11=Data!$EU$4,Data!$EY$2, IF(G11=Data!$EU$5,Data!$EY$2,IF(G11=Data!$EU$6,Data!$EX$2)))))</f>
        <v>0</v>
      </c>
      <c r="CC11" s="174" t="e">
        <f>VLOOKUP(M11,Data!$EJ$3:$EK$15,2,FALSE)</f>
        <v>#N/A</v>
      </c>
      <c r="CD11" s="174" t="str">
        <f>IF(J11="114mm",VLOOKUP(H11,Data!$FA$2:$FB$18,2,FALSE),"OK")</f>
        <v>OK</v>
      </c>
      <c r="CE11" s="174" t="e">
        <f t="shared" si="23"/>
        <v>#DIV/0!</v>
      </c>
      <c r="CF11" s="174" t="str">
        <f>IF(OR(AND(S11="",Q11&lt;&gt;"")),VLOOKUP(Q11,Data!$FC$2:$FD$19,2,FALSE),"")</f>
        <v/>
      </c>
      <c r="CG11" s="174" t="str">
        <f>IF(N11=Data!$BI$3,Data!$FJ$1,IF(N11=Data!$BI$4,Data!$FK$1,IF(N11=Data!$BI$5,Data!$FL$1,IF(N11=Data!$BI$6,Data!$FM$1,IF(N11=Data!$BI$7,Data!$FN$1, IF(N11=Data!$BI$8,Data!$FO$1, IF(N11=Data!$BI$9,Data!$FI$1, "")))))))</f>
        <v/>
      </c>
      <c r="CH11" s="174" t="str">
        <f>IF(SUM(--ISNUMBER(SEARCH({"z","Z"}, Q11))),"Yes","No")</f>
        <v>No</v>
      </c>
      <c r="CI11" s="174" t="str">
        <f t="shared" si="24"/>
        <v>OK</v>
      </c>
      <c r="CJ11" s="174">
        <f t="shared" si="25"/>
        <v>0</v>
      </c>
      <c r="CK11" s="174" t="e">
        <f>VLOOKUP(P11,Data!$DO$4:$DP$157,2,FALSE)</f>
        <v>#N/A</v>
      </c>
      <c r="CL11" s="174" t="e">
        <f t="shared" si="26"/>
        <v>#N/A</v>
      </c>
      <c r="CM11" s="162"/>
      <c r="CN11" s="162" t="s">
        <v>661</v>
      </c>
      <c r="CO11" s="162" t="str">
        <f>IF(COUNTIF(M9:M23,Data!EJ6)+COUNTIF(M9:M23,Data!EJ7)+COUNTIF(M9:M23,Data!EJ9)+COUNTIF(M9:M23,Data!EJ10)+COUNTIF(M9:M23,Data!EJ15)+COUNTIF(M9:M23,Data!EJ11)+COUNTIF(M9:M23,Data!EJ12),Data!EL6,"")</f>
        <v/>
      </c>
      <c r="CP11" s="366" t="str">
        <f t="shared" si="27"/>
        <v>OK</v>
      </c>
      <c r="CQ11" s="174" t="b">
        <f t="shared" si="28"/>
        <v>0</v>
      </c>
      <c r="CR11" s="174">
        <f t="shared" si="29"/>
        <v>0</v>
      </c>
      <c r="CS11" s="174">
        <f t="shared" si="30"/>
        <v>1</v>
      </c>
      <c r="CT11" s="174">
        <f t="shared" si="56"/>
        <v>0</v>
      </c>
      <c r="CU11" s="162" t="e">
        <f t="shared" si="31"/>
        <v>#DIV/0!</v>
      </c>
      <c r="CV11" s="162" t="e">
        <f>VLOOKUP(H11,Data!$BD$81:$BE$111,2,FALSE)</f>
        <v>#N/A</v>
      </c>
      <c r="CW11" s="174" t="str">
        <f t="shared" si="32"/>
        <v/>
      </c>
      <c r="CX11" s="292" t="str">
        <f>IF(H11=Data!$BE$3,Data!$HQ$2, IF(H11=Data!$BE$4,Data!$HP$2, IF(H11=Data!$BE$5,Data!$HR$2, IF(H11=Data!$BE$6,Data!$HO$2))))</f>
        <v>Super WhiteNA</v>
      </c>
      <c r="CY11" s="351" t="b">
        <f>IF(H11=Data!$BH$3,Data!$HU$2, IF(H11=Data!$BH$4,Data!$HT$2, IF(H11=Data!$BH$5,Data!$HS$2)))</f>
        <v>0</v>
      </c>
      <c r="CZ11" s="351" t="b">
        <f>IF(H11=Data!$BF$3,Data!$HQ$16, IF(H11=Data!$BF$4,Data!$HP$16, IF(H11=Data!$BF$5,Data!$HR$16, IF(H11=Data!$BF$6,Data!$HO$16))))</f>
        <v>0</v>
      </c>
      <c r="DA11" s="351" t="b">
        <f>IF(G11=Data!$BC$3,'Shutters Page 1'!CW11,IF(G11=Data!$BC$4,'Shutters Page 1'!CX11,IF(G11=Data!$BC$6,'Shutters Page 1'!CY11, IF(G11=Data!$BC$5, 'Shutters Page 1'!CX11,IF(G11=Data!$BC$7,'Shutters Page 1'!CX11)))))</f>
        <v>0</v>
      </c>
      <c r="DB11" s="162" t="e">
        <f>IF(OR(AND(L11&gt;0,#REF!="")), "Error","OK")</f>
        <v>#REF!</v>
      </c>
      <c r="DC11" s="174" t="e">
        <f>IF(COUNTIF(#REF!,Data!$CX$6),"Yes","")</f>
        <v>#REF!</v>
      </c>
      <c r="DD11" s="55" t="str">
        <f t="shared" si="33"/>
        <v/>
      </c>
      <c r="DG11" s="55" t="str">
        <f>IF(N11=Data!$BI$5,"Yes",IF(N11=Data!$BI$6,"Yes","No"))</f>
        <v>No</v>
      </c>
      <c r="DH11" s="66" t="b">
        <f>IF(N11=Data!$BI$3,Data!$JB$2,IF(N11=Data!$BI$4,Data!$JC$2,IF(N11=Data!$BI$5,Data!$JD$2,IF(N11=Data!$BI$6,DI11,IF(N11=Data!$BI$7,Data!$JF$2, IF(N11=Data!$BI$8,Data!$JA$2, IF(N11=Data!$BI$9,Data!$JG$2)))))))</f>
        <v>0</v>
      </c>
      <c r="DI11" s="55" t="e">
        <f>VLOOKUP(P11,Data!$AAY$2:$ABA$44,3,FALSE)</f>
        <v>#N/A</v>
      </c>
      <c r="DK11" s="66" t="e">
        <f>VLOOKUP(P11,Data!$DO$4:$DQ$157,3,FALSE)</f>
        <v>#N/A</v>
      </c>
      <c r="DL11" s="55" t="e">
        <f t="shared" si="34"/>
        <v>#N/A</v>
      </c>
      <c r="DM11" s="55" t="e">
        <f t="shared" si="57"/>
        <v>#N/A</v>
      </c>
      <c r="DN11" s="162" t="b">
        <f>IF(Q11=Data!$BK$3,Data!$JH$2,IF(Q11=Data!$BK$4,Data!$JI$2,IF(Q11=Data!$BK$5,Data!$JJ$2,IF(Q11=Data!$BK$6,Data!$JK$2,IF(Q11=Data!$BK$7,Data!$JL$2,IF(Q11=Data!$BK$8,Data!$JM$2,IF(Q11=Data!$BK$9,Data!$JN$2,IF(Q11=Data!$BK$10,Data!$JO$2,IF(Q11=Data!$BK$11,Data!$JP$2,IF(Q11=Data!$BK$12,Data!$JQ$2,IF(Q11=Data!$BK$13,Data!$JR$2,IF(Q11=Data!$BK$14,Data!$JS$2,IF(Q11=Data!$BK$15,Data!$JT$2,IF(Q11=Data!$BK$16,Data!$JU$2,IF(Q11=Data!$BK$17,Data!$JV$2,IF(Q11=Data!$BK$18,Data!$JW$2, IF(Q11=Data!$BK$19,Data!$JX$2, IF(Q11=Data!$BK$20,Data!$JY$2, IF(Q11=Data!$BK$21,Data!$JN$2, IF(Q11=Data!$BK$22,Data!$JN$2, IF(Q11=Data!$BK$23,Data!$JN$2, IF(Q11=Data!$BK$24,Data!$JL$19))))))))))))))))))))))</f>
        <v>0</v>
      </c>
      <c r="DO11" s="55" t="str">
        <f>Data!$JH$19</f>
        <v>LRFrameAir</v>
      </c>
      <c r="DP11" s="55" t="b">
        <f>IF(G11=Data!$JH$18,'Shutters Page 1'!DO11,'Shutters Page 1'!DN11)</f>
        <v>0</v>
      </c>
      <c r="DR11" s="174" t="str">
        <f t="shared" si="58"/>
        <v/>
      </c>
      <c r="DS11" s="174" t="e">
        <f t="shared" si="59"/>
        <v>#N/A</v>
      </c>
      <c r="DT11" s="174" t="str">
        <f t="shared" si="35"/>
        <v>OK</v>
      </c>
      <c r="DU11" s="174" t="str">
        <f t="shared" si="36"/>
        <v>OK</v>
      </c>
      <c r="DV11" s="174" t="str">
        <f t="shared" si="37"/>
        <v>OK</v>
      </c>
      <c r="DW11" s="174" t="str">
        <f t="shared" si="38"/>
        <v>OK</v>
      </c>
      <c r="DX11" s="66" t="b">
        <f>IF(N11=Data!$LW$2,Data!$LX$1,IF(N11=Data!$LW$3,Data!$LY$1,IF(N11=Data!$LW$4,Data!$LZ$1,IF(N11=Data!$LW$5,Data!$MA$1,IF(N11=Data!$LW$6,Data!$MB$1,IF(N11=Data!$LW$7,Data!$MC$1, IF(N11=Data!$LW$8,Data!$MX$1)))))))</f>
        <v>0</v>
      </c>
      <c r="DY11" s="66" t="b">
        <f>IF(N11=Data!$LW$2,Data!$LX$147,IF(N11=Data!$LW$7,Data!$MC$1))</f>
        <v>0</v>
      </c>
      <c r="DZ11" s="66" t="b">
        <f>IF(G11=Data!$BC$3,'Shutters Page 1'!DX11,IF(G11=Data!$BC$5,'Shutters Page 1'!DY11))</f>
        <v>0</v>
      </c>
      <c r="EA11" s="66" t="b">
        <f>IF(E11=Data!$MD$2,Data!$ME$2, IF(E11=Data!$MD$3,Data!$MF$2, IF(E11=Data!$MD$4,Data!$MG$2)))</f>
        <v>0</v>
      </c>
      <c r="EB11" s="162" t="str">
        <f>IF(E11="MS",Data!$AK$1,IF(G11=Data!$BC$5,Data!$EJ$40,IF(G11=Data!$BC$4,Data!$EJ$20,Data!$EJ$2)))</f>
        <v>Special_Window_Timber</v>
      </c>
      <c r="EC11" s="66" t="str">
        <f>IF(OR(AND(T11="",Q11&lt;&gt;"")),VLOOKUP(Q11,Data!$FC$2:$FD$18,2,FALSE),"")</f>
        <v/>
      </c>
      <c r="ED11" s="66" t="str">
        <f>IF(OR(AND(U11="",Q11&lt;&gt;"")),VLOOKUP(Q11,Data!$FC$2:$FD$18,2,FALSE),"")</f>
        <v/>
      </c>
      <c r="EE11" s="66" t="str">
        <f>IF(OR(AND(V11="",Q11&lt;&gt;"")),VLOOKUP(Q11,Data!$FC$2:$FD$18,2,FALSE),"")</f>
        <v/>
      </c>
      <c r="EF11" s="162" t="e">
        <f>VLOOKUP(N11,Data!$MK$2:$ML$8,2,FALSE)</f>
        <v>#N/A</v>
      </c>
      <c r="EG11" s="66" t="e">
        <f>VLOOKUP(P11,Data!$DO$4:$DO$158,1,FALSE)</f>
        <v>#N/A</v>
      </c>
      <c r="EH11" s="66" t="e">
        <f t="shared" si="39"/>
        <v>#N/A</v>
      </c>
      <c r="EI11" s="55" t="str">
        <f t="shared" si="40"/>
        <v/>
      </c>
      <c r="EJ11" s="162" t="str">
        <f t="shared" si="41"/>
        <v>OK</v>
      </c>
      <c r="EK11" s="405" t="str">
        <f>Data!$JI$19</f>
        <v>TopBottomFrameAir</v>
      </c>
      <c r="EL11" s="405" t="b">
        <f>IF(G11=Data!$JH$18,EK11,EM11)</f>
        <v>0</v>
      </c>
      <c r="EM11" s="174" t="b">
        <f>IF(Q11=Data!$NN$3,Data!$NO$2, IF(Q11=Data!$NN$4,Data!$NP$2, IF(Q11=Data!$NN$5,Data!$NQ$2, IF(Q11=Data!$NN$6,Data!$NR$2, IF(Q11=Data!$NN$7,Data!$NS$2, IF(Q11=Data!$NN$8,Data!$NT$2, IF(Q11=Data!$NN$9,Data!$NU$2, IF(Q11=Data!$NN$10,Data!$NV$2, IF(Q11=Data!$NN$11,Data!$NW$2, IF(Q11=Data!$NN$12,Data!$NX$2, IF(Q11=Data!$NN$13,Data!$NY$2, IF(Q11=Data!$NN$14,Data!$NZ$2, IF(Q11=Data!$NN$15,Data!$OA$2, IF(Q11=Data!$NN$16,Data!$OB$2, IF(Q11=Data!$NN$17,Data!$OC$2, IF(Q11=Data!$NN$18,Data!$OD$2, IF(Q11=Data!$NN$19,Data!$OE$2, IF(Q11=Data!$NN$20,Data!$OG$2, IF(Q11=Data!$NN$25,Data!$NT$2, IF(Q11=Data!$NN$26,Data!$NT$2, IF(Q11=Data!$NN$27,Data!$NT$2, IF(Q11=Data!$NN$28,Data!$OH$2))))))))))))))))))))))</f>
        <v>0</v>
      </c>
      <c r="EN11" s="174" t="b">
        <f>IF(O11=$EN$7,Data!$OD$15,'Shutters Page 1'!EO11)</f>
        <v>0</v>
      </c>
      <c r="EO11" s="174" t="b">
        <f>IF(Q11=Data!$NN$3,Data!$NO$15,IF(Q11=Data!$NN$4,Data!$NP$15,IF(Q11=Data!$NN$5,Data!$NQ$15,IF(Q11=Data!$NN$6,Data!$NR$15,IF(Q11=Data!$NN$7,Data!$NS$15,IF(Q11=Data!$NN$8,Data!$NT$15,IF(Q11=Data!$NN$9,Data!$NU$15,IF(Q11=Data!$NN$10,Data!$NV$15,IF(Q11=Data!$NN$11,Data!$NW$15,IF(Q11=Data!$NN$12,Data!$NX$15,IF(Q11=Data!$NN$13,Data!$NY$15,IF(Q11=Data!$NN$14,Data!$NZ$15,IF(N11=Data!$NN$22,Data!$OA$15,IF(N11=Data!$NN$23,Data!$OB$15,IF(Q11=Data!$NN$19,Data!$OC$15, IF(Q11=Data!$NN$20,Data!$OG$15,IF(Q11=Data!$NN$25,Data!$NT$15,IF(Q11=Data!$NN$26,Data!$NT$15,IF(Q11=Data!$NN$27,Data!$NT$15,IF(Q11=Data!$NN$28,Data!$OH$15))))))))))))))))))))</f>
        <v>0</v>
      </c>
      <c r="EP11" s="406" t="str">
        <f>Data!$JI$19</f>
        <v>TopBottomFrameAir</v>
      </c>
      <c r="EQ11" s="406" t="b">
        <f>IF(G11=Data!$JH$18,EP11,EN11)</f>
        <v>0</v>
      </c>
      <c r="ER11" s="351" t="e">
        <f>MATCH(G11,Data!$CW$10:$CW$14,0)</f>
        <v>#N/A</v>
      </c>
      <c r="ES11" s="174" t="e">
        <f>MATCH(J11,Data!$CX$9:$DA$9,0)</f>
        <v>#N/A</v>
      </c>
      <c r="ET11" s="355" t="e">
        <f>INDEX(Data!$CX$10:$DA$14,'Shutters Page 1'!ER11,'Shutters Page 1'!ES11)</f>
        <v>#N/A</v>
      </c>
      <c r="EU11" s="355" t="e">
        <f>VLOOKUP(H11,Data!$BD$81:$BE$115,2,FALSE)</f>
        <v>#N/A</v>
      </c>
      <c r="EV11" s="355" t="e">
        <f>IF(EU11=Data!$BB$80,Data!$CW$20,'Shutters Page 1'!ET11)</f>
        <v>#N/A</v>
      </c>
      <c r="EW11" s="174" t="str">
        <f>IF(SUM(--ISNUMBER(SEARCH({"combo","Combo","COMBO"}, B28))),"Yes","No")</f>
        <v>No</v>
      </c>
      <c r="EX11" s="174" t="str">
        <f>IF(SUM(--ISNUMBER(SEARCH({"combo","Combo","COMBO"}, F28))),"Yes","No")</f>
        <v>No</v>
      </c>
      <c r="EY11" s="174" t="str">
        <f t="shared" si="60"/>
        <v>No</v>
      </c>
      <c r="EZ11" s="162">
        <f t="shared" si="42"/>
        <v>1</v>
      </c>
      <c r="FA11" s="162" t="e">
        <f t="shared" si="43"/>
        <v>#DIV/0!</v>
      </c>
      <c r="FB11" s="174" t="str">
        <f t="shared" si="44"/>
        <v/>
      </c>
      <c r="FC11" s="351" t="str">
        <f t="shared" si="45"/>
        <v/>
      </c>
      <c r="FD11" s="351" t="str">
        <f t="shared" si="46"/>
        <v/>
      </c>
      <c r="FE11" s="174" t="str">
        <f t="shared" si="47"/>
        <v/>
      </c>
      <c r="FF11" s="174" t="str">
        <f t="shared" si="48"/>
        <v/>
      </c>
      <c r="FG11" s="174" t="str">
        <f t="shared" si="49"/>
        <v/>
      </c>
      <c r="FH11" s="278" t="str">
        <f t="shared" si="61"/>
        <v>No</v>
      </c>
      <c r="FI11" s="351" t="e">
        <f>MATCH(G11,Data!$FH$18:$FL$18,0)</f>
        <v>#N/A</v>
      </c>
      <c r="FJ11" s="174" t="e">
        <f>MATCH(N11,Data!$FG$19:$FG$25,0)</f>
        <v>#N/A</v>
      </c>
      <c r="FK11" s="351" t="e">
        <f>INDEX(Data!$FH$19:$FL$25,'Shutters Page 1'!FJ11,'Shutters Page 1'!FI11)</f>
        <v>#N/A</v>
      </c>
      <c r="FL11" s="411" t="e">
        <f>MATCH(G11,Data!$FH$53:$FI$53,0)</f>
        <v>#N/A</v>
      </c>
      <c r="FM11" s="411" t="e">
        <f>MATCH(N11,Data!$FG$54:$FG$60,0)</f>
        <v>#N/A</v>
      </c>
      <c r="FN11" s="411" t="e">
        <f>INDEX(Data!$FH$54:$FI$60,'Shutters Page 1'!FM11,'Shutters Page 1'!FL11)</f>
        <v>#N/A</v>
      </c>
      <c r="FO11" s="411" t="e">
        <f>IF(E11=Data!$FH$35,'Shutters Page 1'!FN11,'Shutters Page 1'!FK11)</f>
        <v>#N/A</v>
      </c>
      <c r="FP11" s="351" t="e">
        <f>MATCH(G11,Data!$ME$26:$MG$26,0)</f>
        <v>#N/A</v>
      </c>
      <c r="FQ11" s="174" t="e">
        <f>MATCH(E11,Data!$MD$27:$MD$29,0)</f>
        <v>#N/A</v>
      </c>
      <c r="FR11" s="351" t="e">
        <f>INDEX(Data!$ME$27:$MG$29, 'Shutters Page 1'!FQ11, 'Shutters Page 1'!FP11)</f>
        <v>#N/A</v>
      </c>
      <c r="FS11" s="351" t="e">
        <f>MATCH(G11,Data!$AAF$1:$AAH$1,0)</f>
        <v>#N/A</v>
      </c>
      <c r="FT11" s="174" t="e">
        <f>MATCH(N11,Data!$AAE$2:$AAE$8,0)</f>
        <v>#N/A</v>
      </c>
      <c r="FU11" s="351" t="e">
        <f>INDEX(Data!$AAF$2:$AAH$8, 'Shutters Page 1'!FT11, 'Shutters Page 1'!FS11)</f>
        <v>#N/A</v>
      </c>
      <c r="FV11" s="351" t="e">
        <f>MATCH(G11,Data!$AAF$12:$AAH$12,0)</f>
        <v>#N/A</v>
      </c>
      <c r="FW11" s="174" t="e">
        <f>MATCH(N11,Data!$AAE$13:$AAE$19,0)</f>
        <v>#N/A</v>
      </c>
      <c r="FX11" s="351" t="e">
        <f>INDEX(Data!$AAF$13:$AAH$19, 'Shutters Page 1'!FW11, 'Shutters Page 1'!FV11)</f>
        <v>#N/A</v>
      </c>
      <c r="FY11" s="351" t="e">
        <f>MATCH(G11,Data!$AAK$1:$AAM$1,0)</f>
        <v>#N/A</v>
      </c>
      <c r="FZ11" s="174" t="e">
        <f>MATCH(Q11,Data!$AAJ$2,0)</f>
        <v>#N/A</v>
      </c>
      <c r="GA11" s="351" t="e">
        <f>INDEX(Data!$AAK$2:$AAM$2, 'Shutters Page 1'!FZ11, 'Shutters Page 1'!FY11)</f>
        <v>#N/A</v>
      </c>
      <c r="GB11" s="351" t="e">
        <f>MATCH(G11,Data!$AAK$12:$AAM$12,0)</f>
        <v>#N/A</v>
      </c>
      <c r="GC11" s="174" t="e">
        <f>MATCH(Q11,Data!$AAJ$13,0)</f>
        <v>#N/A</v>
      </c>
      <c r="GD11" s="351" t="e">
        <f>INDEX(Data!$AAK$13:$AAM$13, 'Shutters Page 1'!GC11, 'Shutters Page 1'!GB11)</f>
        <v>#N/A</v>
      </c>
      <c r="GE11" s="162" t="e">
        <f>VLOOKUP(H11,Data!$AAR$1:$AAS$35,2,FALSE)</f>
        <v>#N/A</v>
      </c>
      <c r="GF11" s="162" t="e">
        <f t="shared" si="50"/>
        <v>#N/A</v>
      </c>
      <c r="GG11" s="162" t="e">
        <f t="shared" si="51"/>
        <v>#N/A</v>
      </c>
      <c r="GH11" s="162" t="e">
        <f t="shared" si="52"/>
        <v>#N/A</v>
      </c>
      <c r="GI11" s="162" t="str">
        <f>IF(G11=Data!$NC$1,Data!$ND$1,Data!$NE$1)</f>
        <v>FauxwoodStile</v>
      </c>
      <c r="GJ11" s="55">
        <f>IF(COUNT(#REF!)&gt;0,3,0)</f>
        <v>0</v>
      </c>
      <c r="GK11" s="55" t="s">
        <v>1924</v>
      </c>
      <c r="GL11" s="55" t="e">
        <f>VLOOKUP('Shutters Page 1'!H11,Data!$BD$81:$BE$115,2,FALSE)</f>
        <v>#N/A</v>
      </c>
      <c r="GM11" s="55" t="e">
        <f>IF(GL11=Data!$BB$80,"Yes", "No")</f>
        <v>#N/A</v>
      </c>
      <c r="GN11" s="55" t="e">
        <f>IF(GM11="Yes",Data!$EJ$57,'Shutters Page 1'!EB11)</f>
        <v>#N/A</v>
      </c>
      <c r="GQ11" s="55" t="b">
        <f>IF(G11=$GQ$6,Data!$EN$47,IF(G11='Shutters Page 1'!$GQ$7,Data!$EM$47))</f>
        <v>0</v>
      </c>
    </row>
    <row r="12" spans="1:199" ht="36.75" customHeight="1">
      <c r="A12" s="53">
        <v>4</v>
      </c>
      <c r="B12" s="17"/>
      <c r="C12" s="14"/>
      <c r="D12" s="14"/>
      <c r="E12" s="10"/>
      <c r="F12" s="10"/>
      <c r="G12" s="13"/>
      <c r="H12" s="555"/>
      <c r="I12" s="603"/>
      <c r="J12" s="14"/>
      <c r="K12" s="149" t="str">
        <f t="shared" si="0"/>
        <v/>
      </c>
      <c r="L12" s="15"/>
      <c r="M12" s="15"/>
      <c r="N12" s="15"/>
      <c r="O12" s="15"/>
      <c r="P12" s="15"/>
      <c r="Q12" s="486"/>
      <c r="R12" s="486"/>
      <c r="S12" s="13"/>
      <c r="T12" s="13"/>
      <c r="U12" s="13"/>
      <c r="V12" s="13"/>
      <c r="W12" s="15"/>
      <c r="X12" s="15"/>
      <c r="Y12" s="16"/>
      <c r="Z12" s="16"/>
      <c r="AA12" s="14"/>
      <c r="AB12" s="14"/>
      <c r="AC12" s="14"/>
      <c r="AD12" s="386"/>
      <c r="AE12" s="169" t="str">
        <f t="shared" si="1"/>
        <v/>
      </c>
      <c r="AF12" s="236"/>
      <c r="AG12" s="237"/>
      <c r="AI12" s="55">
        <f t="shared" si="2"/>
        <v>0</v>
      </c>
      <c r="AJ12" s="55">
        <f t="shared" si="3"/>
        <v>0</v>
      </c>
      <c r="AK12" s="55">
        <f>IF(P12&lt;&gt;"",VLOOKUP(P12,Data!$AAY$2:$AAZ$44,2,FALSE),0)</f>
        <v>0</v>
      </c>
      <c r="AL12" s="55" t="str">
        <f>IF(E12=Data!$BB$10,Data!$BC$10,Data!$BC$2)</f>
        <v>ShutterMaterial</v>
      </c>
      <c r="AP12" s="55" t="str">
        <f t="shared" si="53"/>
        <v>SlidingSystemNA</v>
      </c>
      <c r="AV12" s="114" t="str">
        <f t="shared" si="4"/>
        <v/>
      </c>
      <c r="AW12" s="66" t="e">
        <f t="shared" si="5"/>
        <v>#N/A</v>
      </c>
      <c r="AX12" s="174" t="e">
        <f>VLOOKUP(Q12,Data!$MI$2:$MJ$4,2,FALSE)</f>
        <v>#N/A</v>
      </c>
      <c r="AY12" s="174" t="e">
        <f t="shared" si="6"/>
        <v>#N/A</v>
      </c>
      <c r="AZ12" s="174" t="e">
        <f>VLOOKUP(N12,Data!$BI$24:$BJ$30,2,FALSE)</f>
        <v>#N/A</v>
      </c>
      <c r="BA12" s="160" t="b">
        <f>IF(G12=Data!$BO$2,Data!$BS$2, IF('Shutters Page 1'!G12=Data!$BP$2,Data!$BT$2, IF('Shutters Page 1'!G12=Data!$BQ$2,Data!$BU$2)))</f>
        <v>0</v>
      </c>
      <c r="BB12" s="361" t="str">
        <f t="shared" si="7"/>
        <v>No</v>
      </c>
      <c r="BC12" s="160" t="e">
        <f t="shared" si="8"/>
        <v>#DIV/0!</v>
      </c>
      <c r="BD12" s="361" t="e">
        <f t="shared" si="9"/>
        <v>#DIV/0!</v>
      </c>
      <c r="BE12" s="160" t="e">
        <f t="shared" si="10"/>
        <v>#DIV/0!</v>
      </c>
      <c r="BF12" s="361" t="str">
        <f t="shared" si="11"/>
        <v>No</v>
      </c>
      <c r="BG12" s="160" t="str">
        <f t="shared" si="12"/>
        <v>NotRequired</v>
      </c>
      <c r="BH12" s="160" t="b">
        <f>IF(G12=Data!$BO$2,Data!$CM$2, IF('Shutters Page 1'!G12=Data!$BP$2,Data!$CN$2, IF('Shutters Page 1'!G12=Data!$BQ$2,Data!$CO$2)))</f>
        <v>0</v>
      </c>
      <c r="BI12" s="160" t="e">
        <f t="shared" si="54"/>
        <v>#DIV/0!</v>
      </c>
      <c r="BJ12" s="161" t="str">
        <f t="shared" si="13"/>
        <v>NoHighlight</v>
      </c>
      <c r="BK12" s="361" t="str">
        <f t="shared" si="14"/>
        <v>FauxwoodRPNo</v>
      </c>
      <c r="BL12" s="161" t="str">
        <f>IF(SUM(--ISNUMBER( SEARCH({"t","T"},P12))),"Yes","No")</f>
        <v>No</v>
      </c>
      <c r="BM12" s="161" t="str">
        <f t="shared" si="15"/>
        <v>OK</v>
      </c>
      <c r="BN12" s="161" t="str">
        <f t="shared" si="16"/>
        <v>OK</v>
      </c>
      <c r="BO12" s="161" t="str">
        <f t="shared" si="17"/>
        <v>OK</v>
      </c>
      <c r="BP12" s="161" t="e">
        <f>IF(OR(AND(F12&gt;1,#REF!="L",#REF!="l"),AND(F12&gt;1,#REF!="R",#REF!="r"),AND(F12&gt;2,#REF!="LR",#REF!="lr")), "Error","OK")</f>
        <v>#REF!</v>
      </c>
      <c r="BQ12" s="161" t="str">
        <f t="shared" si="18"/>
        <v>FauxwoodAINo</v>
      </c>
      <c r="BR12" s="161" t="str">
        <f>IF(SUM(--ISNUMBER(SEARCH({"combo","Combo","COMBO"}, B29))),"Yes","No")</f>
        <v>No</v>
      </c>
      <c r="BS12" s="161" t="str">
        <f t="shared" si="55"/>
        <v>No</v>
      </c>
      <c r="BT12" s="161" t="str">
        <f>IF(SUM(--ISNUMBER( SEARCH({"c","C","b","B"},#REF!))),"Yes","No")</f>
        <v>No</v>
      </c>
      <c r="BU12" s="162">
        <f t="shared" si="19"/>
        <v>0</v>
      </c>
      <c r="BV12" s="174" t="str">
        <f>IF(N12=Data!$BI$3,Data!$DR$3,IF(N12=Data!$BI$4,Data!$DS$3,IF(N12=Data!$BI$5,Data!$DT$3,IF(N12=Data!$BI$6,Data!$DU$3,IF(N12=Data!$BI$7,Data!$DV$3, IF(N12=Data!$BI$8,Data!$DX$3, IF(N12=Data!$BI$9,Data!$DW$3, "")))))))</f>
        <v/>
      </c>
      <c r="BW12" s="174" t="str">
        <f>IF(N12=Data!$BI$3,Data!$DY$3,IF(N12=Data!$BI$4,Data!$DZ$3,IF(N12=Data!$BI$5,Data!$EA$3,IF(N12=Data!$BI$6,Data!$EB$3,IF(N12=Data!$BI$7,Data!$EC$3,IF(N12=Data!$BI$8,Data!$EE$3, IF(N12=Data!$BI$9,Data!$ED$3,"")))))))</f>
        <v/>
      </c>
      <c r="BX12" s="162">
        <f t="shared" si="20"/>
        <v>0</v>
      </c>
      <c r="BY12" s="162">
        <f t="shared" si="21"/>
        <v>0</v>
      </c>
      <c r="BZ12" s="174" t="e">
        <f t="shared" si="22"/>
        <v>#DIV/0!</v>
      </c>
      <c r="CA12" s="351" t="b">
        <f>IF(G12=Data!$EU$2,Data!$ES$2,IF(G12=Data!$EU$3,Data!$ER$2, IF(G12=Data!$EU$5,Data!$ET$2, IF(G12=Data!$EU$4,Data!$EQ$2,IF(G12=Data!$EU$6,Data!$ER$2)))))</f>
        <v>0</v>
      </c>
      <c r="CB12" s="351" t="b">
        <f>IF(G12=Data!$EU$2,Data!$EW$2,IF(G12=Data!$EU$3,Data!$EX$2,IF(G12=Data!$EU$4,Data!$EY$2, IF(G12=Data!$EU$5,Data!$EY$2,IF(G12=Data!$EU$6,Data!$EX$2)))))</f>
        <v>0</v>
      </c>
      <c r="CC12" s="174" t="e">
        <f>VLOOKUP(M12,Data!$EJ$3:$EK$15,2,FALSE)</f>
        <v>#N/A</v>
      </c>
      <c r="CD12" s="174" t="str">
        <f>IF(J12="114mm",VLOOKUP(H12,Data!$FA$2:$FB$18,2,FALSE),"OK")</f>
        <v>OK</v>
      </c>
      <c r="CE12" s="174" t="e">
        <f t="shared" si="23"/>
        <v>#DIV/0!</v>
      </c>
      <c r="CF12" s="174" t="str">
        <f>IF(OR(AND(S12="",Q12&lt;&gt;"")),VLOOKUP(Q12,Data!$FC$2:$FD$19,2,FALSE),"")</f>
        <v/>
      </c>
      <c r="CG12" s="174" t="str">
        <f>IF(N12=Data!$BI$3,Data!$FJ$1,IF(N12=Data!$BI$4,Data!$FK$1,IF(N12=Data!$BI$5,Data!$FL$1,IF(N12=Data!$BI$6,Data!$FM$1,IF(N12=Data!$BI$7,Data!$FN$1, IF(N12=Data!$BI$8,Data!$FO$1, IF(N12=Data!$BI$9,Data!$FI$1, "")))))))</f>
        <v/>
      </c>
      <c r="CH12" s="174" t="str">
        <f>IF(SUM(--ISNUMBER(SEARCH({"z","Z"}, Q12))),"Yes","No")</f>
        <v>No</v>
      </c>
      <c r="CI12" s="174" t="str">
        <f t="shared" si="24"/>
        <v>OK</v>
      </c>
      <c r="CJ12" s="174">
        <f t="shared" si="25"/>
        <v>0</v>
      </c>
      <c r="CK12" s="174" t="e">
        <f>VLOOKUP(P12,Data!$DO$4:$DP$157,2,FALSE)</f>
        <v>#N/A</v>
      </c>
      <c r="CL12" s="174" t="e">
        <f t="shared" si="26"/>
        <v>#N/A</v>
      </c>
      <c r="CM12" s="162"/>
      <c r="CN12" s="162" t="s">
        <v>662</v>
      </c>
      <c r="CO12" s="162" t="str">
        <f>IF(COUNTIF(M9:M23,Data!EJ8)+COUNTIF(M9:M23,Data!EJ13)+COUNTIF(M9:M23,Data!EJ14),Data!EL8,"")</f>
        <v/>
      </c>
      <c r="CP12" s="366" t="str">
        <f t="shared" si="27"/>
        <v>OK</v>
      </c>
      <c r="CQ12" s="174" t="b">
        <f t="shared" si="28"/>
        <v>0</v>
      </c>
      <c r="CR12" s="174">
        <f t="shared" si="29"/>
        <v>0</v>
      </c>
      <c r="CS12" s="174">
        <f t="shared" si="30"/>
        <v>1</v>
      </c>
      <c r="CT12" s="174">
        <f t="shared" si="56"/>
        <v>0</v>
      </c>
      <c r="CU12" s="162" t="e">
        <f t="shared" si="31"/>
        <v>#DIV/0!</v>
      </c>
      <c r="CV12" s="162" t="e">
        <f>VLOOKUP(H12,Data!$BD$81:$BE$111,2,FALSE)</f>
        <v>#N/A</v>
      </c>
      <c r="CW12" s="174" t="str">
        <f t="shared" si="32"/>
        <v/>
      </c>
      <c r="CX12" s="292" t="str">
        <f>IF(H12=Data!$BE$3,Data!$HQ$2, IF(H12=Data!$BE$4,Data!$HP$2, IF(H12=Data!$BE$5,Data!$HR$2, IF(H12=Data!$BE$6,Data!$HO$2))))</f>
        <v>Super WhiteNA</v>
      </c>
      <c r="CY12" s="351" t="b">
        <f>IF(H12=Data!$BH$3,Data!$HU$2, IF(H12=Data!$BH$4,Data!$HT$2, IF(H12=Data!$BH$5,Data!$HS$2)))</f>
        <v>0</v>
      </c>
      <c r="CZ12" s="351" t="b">
        <f>IF(H12=Data!$BF$3,Data!$HQ$16, IF(H12=Data!$BF$4,Data!$HP$16, IF(H12=Data!$BF$5,Data!$HR$16, IF(H12=Data!$BF$6,Data!$HO$16))))</f>
        <v>0</v>
      </c>
      <c r="DA12" s="351" t="b">
        <f>IF(G12=Data!$BC$3,'Shutters Page 1'!CW12,IF(G12=Data!$BC$4,'Shutters Page 1'!CX12,IF(G12=Data!$BC$6,'Shutters Page 1'!CY12, IF(G12=Data!$BC$5, 'Shutters Page 1'!CX12,IF(G12=Data!$BC$7,'Shutters Page 1'!CX12)))))</f>
        <v>0</v>
      </c>
      <c r="DB12" s="162" t="e">
        <f>IF(OR(AND(L12&gt;0,#REF!="")), "Error","OK")</f>
        <v>#REF!</v>
      </c>
      <c r="DC12" s="174" t="e">
        <f>IF(COUNTIF(#REF!,Data!$CX$6),"Yes","")</f>
        <v>#REF!</v>
      </c>
      <c r="DD12" s="55" t="str">
        <f t="shared" si="33"/>
        <v/>
      </c>
      <c r="DG12" s="55" t="str">
        <f>IF(N12=Data!$BI$5,"Yes",IF(N12=Data!$BI$6,"Yes","No"))</f>
        <v>No</v>
      </c>
      <c r="DH12" s="66" t="b">
        <f>IF(N12=Data!$BI$3,Data!$JB$2,IF(N12=Data!$BI$4,Data!$JC$2,IF(N12=Data!$BI$5,Data!$JD$2,IF(N12=Data!$BI$6,DI12,IF(N12=Data!$BI$7,Data!$JF$2, IF(N12=Data!$BI$8,Data!$JA$2, IF(N12=Data!$BI$9,Data!$JG$2)))))))</f>
        <v>0</v>
      </c>
      <c r="DI12" s="55" t="e">
        <f>VLOOKUP(P12,Data!$AAY$2:$ABA$44,3,FALSE)</f>
        <v>#N/A</v>
      </c>
      <c r="DK12" s="66" t="e">
        <f>VLOOKUP(P12,Data!$DO$4:$DQ$157,3,FALSE)</f>
        <v>#N/A</v>
      </c>
      <c r="DL12" s="55" t="e">
        <f t="shared" si="34"/>
        <v>#N/A</v>
      </c>
      <c r="DM12" s="55" t="e">
        <f t="shared" si="57"/>
        <v>#N/A</v>
      </c>
      <c r="DN12" s="162" t="b">
        <f>IF(Q12=Data!$BK$3,Data!$JH$2,IF(Q12=Data!$BK$4,Data!$JI$2,IF(Q12=Data!$BK$5,Data!$JJ$2,IF(Q12=Data!$BK$6,Data!$JK$2,IF(Q12=Data!$BK$7,Data!$JL$2,IF(Q12=Data!$BK$8,Data!$JM$2,IF(Q12=Data!$BK$9,Data!$JN$2,IF(Q12=Data!$BK$10,Data!$JO$2,IF(Q12=Data!$BK$11,Data!$JP$2,IF(Q12=Data!$BK$12,Data!$JQ$2,IF(Q12=Data!$BK$13,Data!$JR$2,IF(Q12=Data!$BK$14,Data!$JS$2,IF(Q12=Data!$BK$15,Data!$JT$2,IF(Q12=Data!$BK$16,Data!$JU$2,IF(Q12=Data!$BK$17,Data!$JV$2,IF(Q12=Data!$BK$18,Data!$JW$2, IF(Q12=Data!$BK$19,Data!$JX$2, IF(Q12=Data!$BK$20,Data!$JY$2, IF(Q12=Data!$BK$21,Data!$JN$2, IF(Q12=Data!$BK$22,Data!$JN$2, IF(Q12=Data!$BK$23,Data!$JN$2, IF(Q12=Data!$BK$24,Data!$JL$19))))))))))))))))))))))</f>
        <v>0</v>
      </c>
      <c r="DO12" s="55" t="str">
        <f>Data!$JH$19</f>
        <v>LRFrameAir</v>
      </c>
      <c r="DP12" s="55" t="b">
        <f>IF(G12=Data!$JH$18,'Shutters Page 1'!DO12,'Shutters Page 1'!DN12)</f>
        <v>0</v>
      </c>
      <c r="DR12" s="174" t="str">
        <f t="shared" si="58"/>
        <v/>
      </c>
      <c r="DS12" s="174" t="e">
        <f t="shared" si="59"/>
        <v>#N/A</v>
      </c>
      <c r="DT12" s="174" t="str">
        <f t="shared" si="35"/>
        <v>OK</v>
      </c>
      <c r="DU12" s="174" t="str">
        <f t="shared" si="36"/>
        <v>OK</v>
      </c>
      <c r="DV12" s="174" t="str">
        <f t="shared" si="37"/>
        <v>OK</v>
      </c>
      <c r="DW12" s="174" t="str">
        <f t="shared" si="38"/>
        <v>OK</v>
      </c>
      <c r="DX12" s="66" t="b">
        <f>IF(N12=Data!$LW$2,Data!$LX$1,IF(N12=Data!$LW$3,Data!$LY$1,IF(N12=Data!$LW$4,Data!$LZ$1,IF(N12=Data!$LW$5,Data!$MA$1,IF(N12=Data!$LW$6,Data!$MB$1,IF(N12=Data!$LW$7,Data!$MC$1, IF(N12=Data!$LW$8,Data!$MX$1)))))))</f>
        <v>0</v>
      </c>
      <c r="DY12" s="66" t="b">
        <f>IF(N12=Data!$LW$2,Data!$LX$147,IF(N12=Data!$LW$7,Data!$MC$1))</f>
        <v>0</v>
      </c>
      <c r="DZ12" s="66" t="b">
        <f>IF(G12=Data!$BC$3,'Shutters Page 1'!DX12,IF(G12=Data!$BC$5,'Shutters Page 1'!DY12))</f>
        <v>0</v>
      </c>
      <c r="EA12" s="66" t="b">
        <f>IF(E12=Data!$MD$2,Data!$ME$2, IF(E12=Data!$MD$3,Data!$MF$2, IF(E12=Data!$MD$4,Data!$MG$2)))</f>
        <v>0</v>
      </c>
      <c r="EB12" s="162" t="str">
        <f>IF(E12="MS",Data!$AK$1,IF(G12=Data!$BC$5,Data!$EJ$40,IF(G12=Data!$BC$4,Data!$EJ$20,Data!$EJ$2)))</f>
        <v>Special_Window_Timber</v>
      </c>
      <c r="EC12" s="66" t="str">
        <f>IF(OR(AND(T12="",Q12&lt;&gt;"")),VLOOKUP(Q12,Data!$FC$2:$FD$18,2,FALSE),"")</f>
        <v/>
      </c>
      <c r="ED12" s="66" t="str">
        <f>IF(OR(AND(U12="",Q12&lt;&gt;"")),VLOOKUP(Q12,Data!$FC$2:$FD$18,2,FALSE),"")</f>
        <v/>
      </c>
      <c r="EE12" s="66" t="str">
        <f>IF(OR(AND(V12="",Q12&lt;&gt;"")),VLOOKUP(Q12,Data!$FC$2:$FD$18,2,FALSE),"")</f>
        <v/>
      </c>
      <c r="EF12" s="162" t="e">
        <f>VLOOKUP(N12,Data!$MK$2:$ML$8,2,FALSE)</f>
        <v>#N/A</v>
      </c>
      <c r="EG12" s="66" t="e">
        <f>VLOOKUP(P12,Data!$DO$4:$DO$158,1,FALSE)</f>
        <v>#N/A</v>
      </c>
      <c r="EH12" s="66" t="e">
        <f t="shared" si="39"/>
        <v>#N/A</v>
      </c>
      <c r="EI12" s="55" t="str">
        <f t="shared" si="40"/>
        <v/>
      </c>
      <c r="EJ12" s="162" t="str">
        <f t="shared" si="41"/>
        <v>OK</v>
      </c>
      <c r="EK12" s="405" t="str">
        <f>Data!$JI$19</f>
        <v>TopBottomFrameAir</v>
      </c>
      <c r="EL12" s="405" t="b">
        <f>IF(G12=Data!$JH$18,EK12,EM12)</f>
        <v>0</v>
      </c>
      <c r="EM12" s="174" t="b">
        <f>IF(Q12=Data!$NN$3,Data!$NO$2, IF(Q12=Data!$NN$4,Data!$NP$2, IF(Q12=Data!$NN$5,Data!$NQ$2, IF(Q12=Data!$NN$6,Data!$NR$2, IF(Q12=Data!$NN$7,Data!$NS$2, IF(Q12=Data!$NN$8,Data!$NT$2, IF(Q12=Data!$NN$9,Data!$NU$2, IF(Q12=Data!$NN$10,Data!$NV$2, IF(Q12=Data!$NN$11,Data!$NW$2, IF(Q12=Data!$NN$12,Data!$NX$2, IF(Q12=Data!$NN$13,Data!$NY$2, IF(Q12=Data!$NN$14,Data!$NZ$2, IF(Q12=Data!$NN$15,Data!$OA$2, IF(Q12=Data!$NN$16,Data!$OB$2, IF(Q12=Data!$NN$17,Data!$OC$2, IF(Q12=Data!$NN$18,Data!$OD$2, IF(Q12=Data!$NN$19,Data!$OE$2, IF(Q12=Data!$NN$20,Data!$OG$2, IF(Q12=Data!$NN$25,Data!$NT$2, IF(Q12=Data!$NN$26,Data!$NT$2, IF(Q12=Data!$NN$27,Data!$NT$2, IF(Q12=Data!$NN$28,Data!$OH$2))))))))))))))))))))))</f>
        <v>0</v>
      </c>
      <c r="EN12" s="174" t="b">
        <f>IF(O12=$EN$7,Data!$OD$15,'Shutters Page 1'!EO12)</f>
        <v>0</v>
      </c>
      <c r="EO12" s="174" t="b">
        <f>IF(Q12=Data!$NN$3,Data!$NO$15,IF(Q12=Data!$NN$4,Data!$NP$15,IF(Q12=Data!$NN$5,Data!$NQ$15,IF(Q12=Data!$NN$6,Data!$NR$15,IF(Q12=Data!$NN$7,Data!$NS$15,IF(Q12=Data!$NN$8,Data!$NT$15,IF(Q12=Data!$NN$9,Data!$NU$15,IF(Q12=Data!$NN$10,Data!$NV$15,IF(Q12=Data!$NN$11,Data!$NW$15,IF(Q12=Data!$NN$12,Data!$NX$15,IF(Q12=Data!$NN$13,Data!$NY$15,IF(Q12=Data!$NN$14,Data!$NZ$15,IF(N12=Data!$NN$22,Data!$OA$15,IF(N12=Data!$NN$23,Data!$OB$15,IF(Q12=Data!$NN$19,Data!$OC$15, IF(Q12=Data!$NN$20,Data!$OG$15,IF(Q12=Data!$NN$25,Data!$NT$15,IF(Q12=Data!$NN$26,Data!$NT$15,IF(Q12=Data!$NN$27,Data!$NT$15,IF(Q12=Data!$NN$28,Data!$OH$15))))))))))))))))))))</f>
        <v>0</v>
      </c>
      <c r="EP12" s="406" t="str">
        <f>Data!$JI$19</f>
        <v>TopBottomFrameAir</v>
      </c>
      <c r="EQ12" s="406" t="b">
        <f>IF(G12=Data!$JH$18,EP12,EN12)</f>
        <v>0</v>
      </c>
      <c r="ER12" s="351" t="e">
        <f>MATCH(G12,Data!$CW$10:$CW$14,0)</f>
        <v>#N/A</v>
      </c>
      <c r="ES12" s="174" t="e">
        <f>MATCH(J12,Data!$CX$9:$DA$9,0)</f>
        <v>#N/A</v>
      </c>
      <c r="ET12" s="355" t="e">
        <f>INDEX(Data!$CX$10:$DA$14,'Shutters Page 1'!ER12,'Shutters Page 1'!ES12)</f>
        <v>#N/A</v>
      </c>
      <c r="EU12" s="355" t="e">
        <f>VLOOKUP(H12,Data!$BD$81:$BE$115,2,FALSE)</f>
        <v>#N/A</v>
      </c>
      <c r="EV12" s="355" t="e">
        <f>IF(EU12=Data!$BB$80,Data!$CW$20,'Shutters Page 1'!ET12)</f>
        <v>#N/A</v>
      </c>
      <c r="EW12" s="174" t="str">
        <f>IF(SUM(--ISNUMBER(SEARCH({"combo","Combo","COMBO"}, B29))),"Yes","No")</f>
        <v>No</v>
      </c>
      <c r="EX12" s="174" t="str">
        <f>IF(SUM(--ISNUMBER(SEARCH({"combo","Combo","COMBO"}, F29))),"Yes","No")</f>
        <v>No</v>
      </c>
      <c r="EY12" s="174" t="str">
        <f t="shared" si="60"/>
        <v>No</v>
      </c>
      <c r="EZ12" s="162">
        <f t="shared" si="42"/>
        <v>1</v>
      </c>
      <c r="FA12" s="162" t="e">
        <f t="shared" si="43"/>
        <v>#DIV/0!</v>
      </c>
      <c r="FB12" s="174" t="str">
        <f t="shared" si="44"/>
        <v/>
      </c>
      <c r="FC12" s="351" t="str">
        <f t="shared" si="45"/>
        <v/>
      </c>
      <c r="FD12" s="351" t="str">
        <f t="shared" si="46"/>
        <v/>
      </c>
      <c r="FE12" s="174" t="str">
        <f t="shared" si="47"/>
        <v/>
      </c>
      <c r="FF12" s="174" t="str">
        <f t="shared" si="48"/>
        <v/>
      </c>
      <c r="FG12" s="174" t="str">
        <f t="shared" si="49"/>
        <v/>
      </c>
      <c r="FH12" s="278" t="str">
        <f t="shared" si="61"/>
        <v>No</v>
      </c>
      <c r="FI12" s="351" t="e">
        <f>MATCH(G12,Data!$FH$18:$FL$18,0)</f>
        <v>#N/A</v>
      </c>
      <c r="FJ12" s="174" t="e">
        <f>MATCH(N12,Data!$FG$19:$FG$25,0)</f>
        <v>#N/A</v>
      </c>
      <c r="FK12" s="351" t="e">
        <f>INDEX(Data!$FH$19:$FL$25,'Shutters Page 1'!FJ12,'Shutters Page 1'!FI12)</f>
        <v>#N/A</v>
      </c>
      <c r="FL12" s="411" t="e">
        <f>MATCH(G12,Data!$FH$53:$FI$53,0)</f>
        <v>#N/A</v>
      </c>
      <c r="FM12" s="411" t="e">
        <f>MATCH(N12,Data!$FG$54:$FG$60,0)</f>
        <v>#N/A</v>
      </c>
      <c r="FN12" s="411" t="e">
        <f>INDEX(Data!$FH$54:$FI$60,'Shutters Page 1'!FM12,'Shutters Page 1'!FL12)</f>
        <v>#N/A</v>
      </c>
      <c r="FO12" s="411" t="e">
        <f>IF(E12=Data!$FH$35,'Shutters Page 1'!FN12,'Shutters Page 1'!FK12)</f>
        <v>#N/A</v>
      </c>
      <c r="FP12" s="351" t="e">
        <f>MATCH(G12,Data!$ME$26:$MG$26,0)</f>
        <v>#N/A</v>
      </c>
      <c r="FQ12" s="174" t="e">
        <f>MATCH(E12,Data!$MD$27:$MD$29,0)</f>
        <v>#N/A</v>
      </c>
      <c r="FR12" s="351" t="e">
        <f>INDEX(Data!$ME$27:$MG$29, 'Shutters Page 1'!FQ12, 'Shutters Page 1'!FP12)</f>
        <v>#N/A</v>
      </c>
      <c r="FS12" s="351" t="e">
        <f>MATCH(G12,Data!$AAF$1:$AAH$1,0)</f>
        <v>#N/A</v>
      </c>
      <c r="FT12" s="174" t="e">
        <f>MATCH(N12,Data!$AAE$2:$AAE$8,0)</f>
        <v>#N/A</v>
      </c>
      <c r="FU12" s="351" t="e">
        <f>INDEX(Data!$AAF$2:$AAH$8, 'Shutters Page 1'!FT12, 'Shutters Page 1'!FS12)</f>
        <v>#N/A</v>
      </c>
      <c r="FV12" s="351" t="e">
        <f>MATCH(G12,Data!$AAF$12:$AAH$12,0)</f>
        <v>#N/A</v>
      </c>
      <c r="FW12" s="174" t="e">
        <f>MATCH(N12,Data!$AAE$13:$AAE$19,0)</f>
        <v>#N/A</v>
      </c>
      <c r="FX12" s="351" t="e">
        <f>INDEX(Data!$AAF$13:$AAH$19, 'Shutters Page 1'!FW12, 'Shutters Page 1'!FV12)</f>
        <v>#N/A</v>
      </c>
      <c r="FY12" s="351" t="e">
        <f>MATCH(G12,Data!$AAK$1:$AAM$1,0)</f>
        <v>#N/A</v>
      </c>
      <c r="FZ12" s="174" t="e">
        <f>MATCH(Q12,Data!$AAJ$2,0)</f>
        <v>#N/A</v>
      </c>
      <c r="GA12" s="351" t="e">
        <f>INDEX(Data!$AAK$2:$AAM$2, 'Shutters Page 1'!FZ12, 'Shutters Page 1'!FY12)</f>
        <v>#N/A</v>
      </c>
      <c r="GB12" s="351" t="e">
        <f>MATCH(G12,Data!$AAK$12:$AAM$12,0)</f>
        <v>#N/A</v>
      </c>
      <c r="GC12" s="174" t="e">
        <f>MATCH(Q12,Data!$AAJ$13,0)</f>
        <v>#N/A</v>
      </c>
      <c r="GD12" s="351" t="e">
        <f>INDEX(Data!$AAK$13:$AAM$13, 'Shutters Page 1'!GC12, 'Shutters Page 1'!GB12)</f>
        <v>#N/A</v>
      </c>
      <c r="GE12" s="162" t="e">
        <f>VLOOKUP(H12,Data!$AAR$1:$AAS$35,2,FALSE)</f>
        <v>#N/A</v>
      </c>
      <c r="GF12" s="162" t="e">
        <f t="shared" si="50"/>
        <v>#N/A</v>
      </c>
      <c r="GG12" s="162" t="e">
        <f t="shared" si="51"/>
        <v>#N/A</v>
      </c>
      <c r="GH12" s="162" t="e">
        <f t="shared" si="52"/>
        <v>#N/A</v>
      </c>
      <c r="GI12" s="162" t="str">
        <f>IF(G12=Data!$NC$1,Data!$ND$1,Data!$NE$1)</f>
        <v>FauxwoodStile</v>
      </c>
      <c r="GJ12" s="55">
        <f>MAX(GJ9:GJ11)</f>
        <v>0</v>
      </c>
      <c r="GL12" s="55" t="e">
        <f>VLOOKUP('Shutters Page 1'!H12,Data!$BD$81:$BE$115,2,FALSE)</f>
        <v>#N/A</v>
      </c>
      <c r="GM12" s="55" t="e">
        <f>IF(GL12=Data!$BB$80,"Yes", "No")</f>
        <v>#N/A</v>
      </c>
      <c r="GN12" s="55" t="e">
        <f>IF(GM12="Yes",Data!$EJ$57,'Shutters Page 1'!EB12)</f>
        <v>#N/A</v>
      </c>
      <c r="GQ12" s="55" t="b">
        <f>IF(G12=$GQ$6,Data!$EN$47,IF(G12='Shutters Page 1'!$GQ$7,Data!$EM$47))</f>
        <v>0</v>
      </c>
    </row>
    <row r="13" spans="1:199" ht="36.75" customHeight="1">
      <c r="A13" s="53">
        <v>5</v>
      </c>
      <c r="B13" s="17"/>
      <c r="C13" s="14"/>
      <c r="D13" s="14"/>
      <c r="E13" s="14"/>
      <c r="F13" s="10"/>
      <c r="G13" s="13"/>
      <c r="H13" s="555"/>
      <c r="I13" s="603"/>
      <c r="J13" s="14"/>
      <c r="K13" s="149" t="str">
        <f t="shared" si="0"/>
        <v/>
      </c>
      <c r="L13" s="15"/>
      <c r="M13" s="15"/>
      <c r="N13" s="15"/>
      <c r="O13" s="15"/>
      <c r="P13" s="15"/>
      <c r="Q13" s="486"/>
      <c r="R13" s="486"/>
      <c r="S13" s="13"/>
      <c r="T13" s="13"/>
      <c r="U13" s="13"/>
      <c r="V13" s="13"/>
      <c r="W13" s="15"/>
      <c r="X13" s="15"/>
      <c r="Y13" s="16"/>
      <c r="Z13" s="16"/>
      <c r="AA13" s="14"/>
      <c r="AB13" s="14"/>
      <c r="AC13" s="14"/>
      <c r="AD13" s="386"/>
      <c r="AE13" s="169" t="str">
        <f t="shared" si="1"/>
        <v/>
      </c>
      <c r="AF13" s="236"/>
      <c r="AG13" s="237"/>
      <c r="AI13" s="55">
        <f t="shared" si="2"/>
        <v>0</v>
      </c>
      <c r="AJ13" s="55">
        <f t="shared" si="3"/>
        <v>0</v>
      </c>
      <c r="AK13" s="55">
        <f>IF(P13&lt;&gt;"",VLOOKUP(P13,Data!$AAY$2:$AAZ$44,2,FALSE),0)</f>
        <v>0</v>
      </c>
      <c r="AL13" s="55" t="str">
        <f>IF(E13=Data!$BB$10,Data!$BC$10,Data!$BC$2)</f>
        <v>ShutterMaterial</v>
      </c>
      <c r="AP13" s="55" t="str">
        <f t="shared" si="53"/>
        <v>SlidingSystemNA</v>
      </c>
      <c r="AV13" s="114" t="str">
        <f t="shared" si="4"/>
        <v/>
      </c>
      <c r="AW13" s="66" t="e">
        <f t="shared" si="5"/>
        <v>#N/A</v>
      </c>
      <c r="AX13" s="174" t="e">
        <f>VLOOKUP(Q13,Data!$MI$2:$MJ$4,2,FALSE)</f>
        <v>#N/A</v>
      </c>
      <c r="AY13" s="174" t="e">
        <f t="shared" si="6"/>
        <v>#N/A</v>
      </c>
      <c r="AZ13" s="174" t="e">
        <f>VLOOKUP(N13,Data!$BI$24:$BJ$30,2,FALSE)</f>
        <v>#N/A</v>
      </c>
      <c r="BA13" s="160" t="b">
        <f>IF(G13=Data!$BO$2,Data!$BS$2, IF('Shutters Page 1'!G13=Data!$BP$2,Data!$BT$2, IF('Shutters Page 1'!G13=Data!$BQ$2,Data!$BU$2)))</f>
        <v>0</v>
      </c>
      <c r="BB13" s="361" t="str">
        <f t="shared" si="7"/>
        <v>No</v>
      </c>
      <c r="BC13" s="160" t="e">
        <f t="shared" si="8"/>
        <v>#DIV/0!</v>
      </c>
      <c r="BD13" s="361" t="e">
        <f t="shared" si="9"/>
        <v>#DIV/0!</v>
      </c>
      <c r="BE13" s="160" t="e">
        <f t="shared" si="10"/>
        <v>#DIV/0!</v>
      </c>
      <c r="BF13" s="361" t="str">
        <f t="shared" si="11"/>
        <v>No</v>
      </c>
      <c r="BG13" s="160" t="str">
        <f t="shared" si="12"/>
        <v>NotRequired</v>
      </c>
      <c r="BH13" s="160" t="b">
        <f>IF(G13=Data!$BO$2,Data!$CM$2, IF('Shutters Page 1'!G13=Data!$BP$2,Data!$CN$2, IF('Shutters Page 1'!G13=Data!$BQ$2,Data!$CO$2)))</f>
        <v>0</v>
      </c>
      <c r="BI13" s="160" t="e">
        <f t="shared" si="54"/>
        <v>#DIV/0!</v>
      </c>
      <c r="BJ13" s="161" t="str">
        <f t="shared" si="13"/>
        <v>NoHighlight</v>
      </c>
      <c r="BK13" s="361" t="str">
        <f t="shared" si="14"/>
        <v>FauxwoodRPNo</v>
      </c>
      <c r="BL13" s="161" t="str">
        <f>IF(SUM(--ISNUMBER( SEARCH({"t","T"},P13))),"Yes","No")</f>
        <v>No</v>
      </c>
      <c r="BM13" s="161" t="str">
        <f t="shared" si="15"/>
        <v>OK</v>
      </c>
      <c r="BN13" s="161" t="str">
        <f t="shared" si="16"/>
        <v>OK</v>
      </c>
      <c r="BO13" s="161" t="str">
        <f t="shared" si="17"/>
        <v>OK</v>
      </c>
      <c r="BP13" s="161" t="e">
        <f>IF(OR(AND(F13&gt;1,#REF!="L",#REF!="l"),AND(F13&gt;1,#REF!="R",#REF!="r"),AND(F13&gt;2,#REF!="LR",#REF!="lr")), "Error","OK")</f>
        <v>#REF!</v>
      </c>
      <c r="BQ13" s="161" t="str">
        <f t="shared" si="18"/>
        <v>FauxwoodAINo</v>
      </c>
      <c r="BR13" s="161" t="str">
        <f>IF(SUM(--ISNUMBER(SEARCH({"combo","Combo","COMBO"}, B30))),"Yes","No")</f>
        <v>No</v>
      </c>
      <c r="BS13" s="161" t="str">
        <f t="shared" si="55"/>
        <v>No</v>
      </c>
      <c r="BT13" s="161" t="str">
        <f>IF(SUM(--ISNUMBER( SEARCH({"c","C","b","B"},#REF!))),"Yes","No")</f>
        <v>No</v>
      </c>
      <c r="BU13" s="162">
        <f t="shared" si="19"/>
        <v>0</v>
      </c>
      <c r="BV13" s="174" t="str">
        <f>IF(N13=Data!$BI$3,Data!$DR$3,IF(N13=Data!$BI$4,Data!$DS$3,IF(N13=Data!$BI$5,Data!$DT$3,IF(N13=Data!$BI$6,Data!$DU$3,IF(N13=Data!$BI$7,Data!$DV$3, IF(N13=Data!$BI$8,Data!$DX$3, IF(N13=Data!$BI$9,Data!$DW$3, "")))))))</f>
        <v/>
      </c>
      <c r="BW13" s="174" t="str">
        <f>IF(N13=Data!$BI$3,Data!$DY$3,IF(N13=Data!$BI$4,Data!$DZ$3,IF(N13=Data!$BI$5,Data!$EA$3,IF(N13=Data!$BI$6,Data!$EB$3,IF(N13=Data!$BI$7,Data!$EC$3,IF(N13=Data!$BI$8,Data!$EE$3, IF(N13=Data!$BI$9,Data!$ED$3,"")))))))</f>
        <v/>
      </c>
      <c r="BX13" s="162">
        <f t="shared" si="20"/>
        <v>0</v>
      </c>
      <c r="BY13" s="162">
        <f t="shared" si="21"/>
        <v>0</v>
      </c>
      <c r="BZ13" s="174" t="e">
        <f t="shared" si="22"/>
        <v>#DIV/0!</v>
      </c>
      <c r="CA13" s="351" t="b">
        <f>IF(G13=Data!$EU$2,Data!$ES$2,IF(G13=Data!$EU$3,Data!$ER$2, IF(G13=Data!$EU$5,Data!$ET$2, IF(G13=Data!$EU$4,Data!$EQ$2,IF(G13=Data!$EU$6,Data!$ER$2)))))</f>
        <v>0</v>
      </c>
      <c r="CB13" s="351" t="b">
        <f>IF(G13=Data!$EU$2,Data!$EW$2,IF(G13=Data!$EU$3,Data!$EX$2,IF(G13=Data!$EU$4,Data!$EY$2, IF(G13=Data!$EU$5,Data!$EY$2,IF(G13=Data!$EU$6,Data!$EX$2)))))</f>
        <v>0</v>
      </c>
      <c r="CC13" s="174" t="e">
        <f>VLOOKUP(M13,Data!$EJ$3:$EK$15,2,FALSE)</f>
        <v>#N/A</v>
      </c>
      <c r="CD13" s="174" t="str">
        <f>IF(J13="114mm",VLOOKUP(H13,Data!$FA$2:$FB$18,2,FALSE),"OK")</f>
        <v>OK</v>
      </c>
      <c r="CE13" s="174" t="e">
        <f t="shared" si="23"/>
        <v>#DIV/0!</v>
      </c>
      <c r="CF13" s="174" t="str">
        <f>IF(OR(AND(S13="",Q13&lt;&gt;"")),VLOOKUP(Q13,Data!$FC$2:$FD$19,2,FALSE),"")</f>
        <v/>
      </c>
      <c r="CG13" s="174" t="str">
        <f>IF(N13=Data!$BI$3,Data!$FJ$1,IF(N13=Data!$BI$4,Data!$FK$1,IF(N13=Data!$BI$5,Data!$FL$1,IF(N13=Data!$BI$6,Data!$FM$1,IF(N13=Data!$BI$7,Data!$FN$1, IF(N13=Data!$BI$8,Data!$FO$1, IF(N13=Data!$BI$9,Data!$FI$1, "")))))))</f>
        <v/>
      </c>
      <c r="CH13" s="174" t="str">
        <f>IF(SUM(--ISNUMBER(SEARCH({"z","Z"}, Q13))),"Yes","No")</f>
        <v>No</v>
      </c>
      <c r="CI13" s="174" t="str">
        <f t="shared" si="24"/>
        <v>OK</v>
      </c>
      <c r="CJ13" s="174">
        <f t="shared" si="25"/>
        <v>0</v>
      </c>
      <c r="CK13" s="174" t="e">
        <f>VLOOKUP(P13,Data!$DO$4:$DP$157,2,FALSE)</f>
        <v>#N/A</v>
      </c>
      <c r="CL13" s="174" t="e">
        <f t="shared" si="26"/>
        <v>#N/A</v>
      </c>
      <c r="CM13" s="162"/>
      <c r="CN13" s="162"/>
      <c r="CO13" s="162" t="str">
        <f>CO9&amp;"   "&amp;CO10&amp;"   "&amp;CO11&amp;"   "&amp;CO12</f>
        <v xml:space="preserve">         </v>
      </c>
      <c r="CP13" s="366" t="str">
        <f t="shared" si="27"/>
        <v>OK</v>
      </c>
      <c r="CQ13" s="174" t="b">
        <f t="shared" si="28"/>
        <v>0</v>
      </c>
      <c r="CR13" s="174">
        <f t="shared" si="29"/>
        <v>0</v>
      </c>
      <c r="CS13" s="174">
        <f t="shared" si="30"/>
        <v>1</v>
      </c>
      <c r="CT13" s="174">
        <f t="shared" si="56"/>
        <v>0</v>
      </c>
      <c r="CU13" s="162" t="e">
        <f t="shared" si="31"/>
        <v>#DIV/0!</v>
      </c>
      <c r="CV13" s="162" t="e">
        <f>VLOOKUP(H13,Data!$BD$81:$BE$111,2,FALSE)</f>
        <v>#N/A</v>
      </c>
      <c r="CW13" s="174" t="str">
        <f t="shared" si="32"/>
        <v/>
      </c>
      <c r="CX13" s="292" t="str">
        <f>IF(H13=Data!$BE$3,Data!$HQ$2, IF(H13=Data!$BE$4,Data!$HP$2, IF(H13=Data!$BE$5,Data!$HR$2, IF(H13=Data!$BE$6,Data!$HO$2))))</f>
        <v>Super WhiteNA</v>
      </c>
      <c r="CY13" s="351" t="b">
        <f>IF(H13=Data!$BH$3,Data!$HU$2, IF(H13=Data!$BH$4,Data!$HT$2, IF(H13=Data!$BH$5,Data!$HS$2)))</f>
        <v>0</v>
      </c>
      <c r="CZ13" s="351" t="b">
        <f>IF(H13=Data!$BF$3,Data!$HQ$16, IF(H13=Data!$BF$4,Data!$HP$16, IF(H13=Data!$BF$5,Data!$HR$16, IF(H13=Data!$BF$6,Data!$HO$16))))</f>
        <v>0</v>
      </c>
      <c r="DA13" s="351" t="b">
        <f>IF(G13=Data!$BC$3,'Shutters Page 1'!CW13,IF(G13=Data!$BC$4,'Shutters Page 1'!CX13,IF(G13=Data!$BC$6,'Shutters Page 1'!CY13, IF(G13=Data!$BC$5, 'Shutters Page 1'!CX13,IF(G13=Data!$BC$7,'Shutters Page 1'!CX13)))))</f>
        <v>0</v>
      </c>
      <c r="DB13" s="162" t="e">
        <f>IF(OR(AND(L13&gt;0,#REF!="")), "Error","OK")</f>
        <v>#REF!</v>
      </c>
      <c r="DC13" s="174" t="e">
        <f>IF(COUNTIF(#REF!,Data!$CX$6),"Yes","")</f>
        <v>#REF!</v>
      </c>
      <c r="DD13" s="55" t="str">
        <f t="shared" si="33"/>
        <v/>
      </c>
      <c r="DG13" s="55" t="str">
        <f>IF(N13=Data!$BI$5,"Yes",IF(N13=Data!$BI$6,"Yes","No"))</f>
        <v>No</v>
      </c>
      <c r="DH13" s="66" t="b">
        <f>IF(N13=Data!$BI$3,Data!$JB$2,IF(N13=Data!$BI$4,Data!$JC$2,IF(N13=Data!$BI$5,Data!$JD$2,IF(N13=Data!$BI$6,DI13,IF(N13=Data!$BI$7,Data!$JF$2, IF(N13=Data!$BI$8,Data!$JA$2, IF(N13=Data!$BI$9,Data!$JG$2)))))))</f>
        <v>0</v>
      </c>
      <c r="DI13" s="55" t="e">
        <f>VLOOKUP(P13,Data!$AAY$2:$ABA$44,3,FALSE)</f>
        <v>#N/A</v>
      </c>
      <c r="DK13" s="66" t="e">
        <f>VLOOKUP(P13,Data!$DO$4:$DQ$157,3,FALSE)</f>
        <v>#N/A</v>
      </c>
      <c r="DL13" s="55" t="e">
        <f t="shared" si="34"/>
        <v>#N/A</v>
      </c>
      <c r="DM13" s="55" t="e">
        <f t="shared" si="57"/>
        <v>#N/A</v>
      </c>
      <c r="DN13" s="162" t="b">
        <f>IF(Q13=Data!$BK$3,Data!$JH$2,IF(Q13=Data!$BK$4,Data!$JI$2,IF(Q13=Data!$BK$5,Data!$JJ$2,IF(Q13=Data!$BK$6,Data!$JK$2,IF(Q13=Data!$BK$7,Data!$JL$2,IF(Q13=Data!$BK$8,Data!$JM$2,IF(Q13=Data!$BK$9,Data!$JN$2,IF(Q13=Data!$BK$10,Data!$JO$2,IF(Q13=Data!$BK$11,Data!$JP$2,IF(Q13=Data!$BK$12,Data!$JQ$2,IF(Q13=Data!$BK$13,Data!$JR$2,IF(Q13=Data!$BK$14,Data!$JS$2,IF(Q13=Data!$BK$15,Data!$JT$2,IF(Q13=Data!$BK$16,Data!$JU$2,IF(Q13=Data!$BK$17,Data!$JV$2,IF(Q13=Data!$BK$18,Data!$JW$2, IF(Q13=Data!$BK$19,Data!$JX$2, IF(Q13=Data!$BK$20,Data!$JY$2, IF(Q13=Data!$BK$21,Data!$JN$2, IF(Q13=Data!$BK$22,Data!$JN$2, IF(Q13=Data!$BK$23,Data!$JN$2, IF(Q13=Data!$BK$24,Data!$JL$19))))))))))))))))))))))</f>
        <v>0</v>
      </c>
      <c r="DO13" s="55" t="str">
        <f>Data!$JH$19</f>
        <v>LRFrameAir</v>
      </c>
      <c r="DP13" s="55" t="b">
        <f>IF(G13=Data!$JH$18,'Shutters Page 1'!DO13,'Shutters Page 1'!DN13)</f>
        <v>0</v>
      </c>
      <c r="DR13" s="174" t="str">
        <f t="shared" si="58"/>
        <v/>
      </c>
      <c r="DS13" s="174" t="e">
        <f t="shared" si="59"/>
        <v>#N/A</v>
      </c>
      <c r="DT13" s="174" t="str">
        <f t="shared" si="35"/>
        <v>OK</v>
      </c>
      <c r="DU13" s="174" t="str">
        <f t="shared" si="36"/>
        <v>OK</v>
      </c>
      <c r="DV13" s="174" t="str">
        <f t="shared" si="37"/>
        <v>OK</v>
      </c>
      <c r="DW13" s="174" t="str">
        <f t="shared" si="38"/>
        <v>OK</v>
      </c>
      <c r="DX13" s="66" t="b">
        <f>IF(N13=Data!$LW$2,Data!$LX$1,IF(N13=Data!$LW$3,Data!$LY$1,IF(N13=Data!$LW$4,Data!$LZ$1,IF(N13=Data!$LW$5,Data!$MA$1,IF(N13=Data!$LW$6,Data!$MB$1,IF(N13=Data!$LW$7,Data!$MC$1, IF(N13=Data!$LW$8,Data!$MX$1)))))))</f>
        <v>0</v>
      </c>
      <c r="DY13" s="66" t="b">
        <f>IF(N13=Data!$LW$2,Data!$LX$147,IF(N13=Data!$LW$7,Data!$MC$1))</f>
        <v>0</v>
      </c>
      <c r="DZ13" s="66" t="b">
        <f>IF(G13=Data!$BC$3,'Shutters Page 1'!DX13,IF(G13=Data!$BC$5,'Shutters Page 1'!DY13))</f>
        <v>0</v>
      </c>
      <c r="EA13" s="66" t="b">
        <f>IF(E13=Data!$MD$2,Data!$ME$2, IF(E13=Data!$MD$3,Data!$MF$2, IF(E13=Data!$MD$4,Data!$MG$2)))</f>
        <v>0</v>
      </c>
      <c r="EB13" s="162" t="str">
        <f>IF(E13="MS",Data!$AK$1,IF(G13=Data!$BC$5,Data!$EJ$40,IF(G13=Data!$BC$4,Data!$EJ$20,Data!$EJ$2)))</f>
        <v>Special_Window_Timber</v>
      </c>
      <c r="EC13" s="66" t="str">
        <f>IF(OR(AND(T13="",Q13&lt;&gt;"")),VLOOKUP(Q13,Data!$FC$2:$FD$18,2,FALSE),"")</f>
        <v/>
      </c>
      <c r="ED13" s="66" t="str">
        <f>IF(OR(AND(U13="",Q13&lt;&gt;"")),VLOOKUP(Q13,Data!$FC$2:$FD$18,2,FALSE),"")</f>
        <v/>
      </c>
      <c r="EE13" s="66" t="str">
        <f>IF(OR(AND(V13="",Q13&lt;&gt;"")),VLOOKUP(Q13,Data!$FC$2:$FD$18,2,FALSE),"")</f>
        <v/>
      </c>
      <c r="EF13" s="162" t="e">
        <f>VLOOKUP(N13,Data!$MK$2:$ML$8,2,FALSE)</f>
        <v>#N/A</v>
      </c>
      <c r="EG13" s="66" t="e">
        <f>VLOOKUP(P13,Data!$DO$4:$DO$158,1,FALSE)</f>
        <v>#N/A</v>
      </c>
      <c r="EH13" s="66" t="e">
        <f t="shared" si="39"/>
        <v>#N/A</v>
      </c>
      <c r="EI13" s="55" t="str">
        <f t="shared" si="40"/>
        <v/>
      </c>
      <c r="EJ13" s="162" t="str">
        <f t="shared" si="41"/>
        <v>OK</v>
      </c>
      <c r="EK13" s="405" t="str">
        <f>Data!$JI$19</f>
        <v>TopBottomFrameAir</v>
      </c>
      <c r="EL13" s="405" t="b">
        <f>IF(G13=Data!$JH$18,EK13,EM13)</f>
        <v>0</v>
      </c>
      <c r="EM13" s="174" t="b">
        <f>IF(Q13=Data!$NN$3,Data!$NO$2, IF(Q13=Data!$NN$4,Data!$NP$2, IF(Q13=Data!$NN$5,Data!$NQ$2, IF(Q13=Data!$NN$6,Data!$NR$2, IF(Q13=Data!$NN$7,Data!$NS$2, IF(Q13=Data!$NN$8,Data!$NT$2, IF(Q13=Data!$NN$9,Data!$NU$2, IF(Q13=Data!$NN$10,Data!$NV$2, IF(Q13=Data!$NN$11,Data!$NW$2, IF(Q13=Data!$NN$12,Data!$NX$2, IF(Q13=Data!$NN$13,Data!$NY$2, IF(Q13=Data!$NN$14,Data!$NZ$2, IF(Q13=Data!$NN$15,Data!$OA$2, IF(Q13=Data!$NN$16,Data!$OB$2, IF(Q13=Data!$NN$17,Data!$OC$2, IF(Q13=Data!$NN$18,Data!$OD$2, IF(Q13=Data!$NN$19,Data!$OE$2, IF(Q13=Data!$NN$20,Data!$OG$2, IF(Q13=Data!$NN$25,Data!$NT$2, IF(Q13=Data!$NN$26,Data!$NT$2, IF(Q13=Data!$NN$27,Data!$NT$2, IF(Q13=Data!$NN$28,Data!$OH$2))))))))))))))))))))))</f>
        <v>0</v>
      </c>
      <c r="EN13" s="174" t="b">
        <f>IF(O13=$EN$7,Data!$OD$15,'Shutters Page 1'!EO13)</f>
        <v>0</v>
      </c>
      <c r="EO13" s="174" t="b">
        <f>IF(Q13=Data!$NN$3,Data!$NO$15,IF(Q13=Data!$NN$4,Data!$NP$15,IF(Q13=Data!$NN$5,Data!$NQ$15,IF(Q13=Data!$NN$6,Data!$NR$15,IF(Q13=Data!$NN$7,Data!$NS$15,IF(Q13=Data!$NN$8,Data!$NT$15,IF(Q13=Data!$NN$9,Data!$NU$15,IF(Q13=Data!$NN$10,Data!$NV$15,IF(Q13=Data!$NN$11,Data!$NW$15,IF(Q13=Data!$NN$12,Data!$NX$15,IF(Q13=Data!$NN$13,Data!$NY$15,IF(Q13=Data!$NN$14,Data!$NZ$15,IF(N13=Data!$NN$22,Data!$OA$15,IF(N13=Data!$NN$23,Data!$OB$15,IF(Q13=Data!$NN$19,Data!$OC$15, IF(Q13=Data!$NN$20,Data!$OG$15,IF(Q13=Data!$NN$25,Data!$NT$15,IF(Q13=Data!$NN$26,Data!$NT$15,IF(Q13=Data!$NN$27,Data!$NT$15,IF(Q13=Data!$NN$28,Data!$OH$15))))))))))))))))))))</f>
        <v>0</v>
      </c>
      <c r="EP13" s="406" t="str">
        <f>Data!$JI$19</f>
        <v>TopBottomFrameAir</v>
      </c>
      <c r="EQ13" s="406" t="b">
        <f>IF(G13=Data!$JH$18,EP13,EN13)</f>
        <v>0</v>
      </c>
      <c r="ER13" s="351" t="e">
        <f>MATCH(G13,Data!$CW$10:$CW$14,0)</f>
        <v>#N/A</v>
      </c>
      <c r="ES13" s="174" t="e">
        <f>MATCH(J13,Data!$CX$9:$DA$9,0)</f>
        <v>#N/A</v>
      </c>
      <c r="ET13" s="355" t="e">
        <f>INDEX(Data!$CX$10:$DA$14,'Shutters Page 1'!ER13,'Shutters Page 1'!ES13)</f>
        <v>#N/A</v>
      </c>
      <c r="EU13" s="355" t="e">
        <f>VLOOKUP(H13,Data!$BD$81:$BE$115,2,FALSE)</f>
        <v>#N/A</v>
      </c>
      <c r="EV13" s="355" t="e">
        <f>IF(EU13=Data!$BB$80,Data!$CW$20,'Shutters Page 1'!ET13)</f>
        <v>#N/A</v>
      </c>
      <c r="EW13" s="174" t="str">
        <f>IF(SUM(--ISNUMBER(SEARCH({"combo","Combo","COMBO"}, B30))),"Yes","No")</f>
        <v>No</v>
      </c>
      <c r="EX13" s="174" t="str">
        <f>IF(SUM(--ISNUMBER(SEARCH({"combo","Combo","COMBO"}, F30))),"Yes","No")</f>
        <v>No</v>
      </c>
      <c r="EY13" s="174" t="str">
        <f t="shared" si="60"/>
        <v>No</v>
      </c>
      <c r="EZ13" s="162">
        <f t="shared" si="42"/>
        <v>1</v>
      </c>
      <c r="FA13" s="162" t="e">
        <f t="shared" si="43"/>
        <v>#DIV/0!</v>
      </c>
      <c r="FB13" s="174" t="str">
        <f t="shared" si="44"/>
        <v/>
      </c>
      <c r="FC13" s="351" t="str">
        <f t="shared" si="45"/>
        <v/>
      </c>
      <c r="FD13" s="351" t="str">
        <f t="shared" si="46"/>
        <v/>
      </c>
      <c r="FE13" s="174" t="str">
        <f t="shared" si="47"/>
        <v/>
      </c>
      <c r="FF13" s="174" t="str">
        <f t="shared" si="48"/>
        <v/>
      </c>
      <c r="FG13" s="174" t="str">
        <f t="shared" si="49"/>
        <v/>
      </c>
      <c r="FH13" s="278" t="str">
        <f t="shared" si="61"/>
        <v>No</v>
      </c>
      <c r="FI13" s="351" t="e">
        <f>MATCH(G13,Data!$FH$18:$FL$18,0)</f>
        <v>#N/A</v>
      </c>
      <c r="FJ13" s="174" t="e">
        <f>MATCH(N13,Data!$FG$19:$FG$25,0)</f>
        <v>#N/A</v>
      </c>
      <c r="FK13" s="351" t="e">
        <f>INDEX(Data!$FH$19:$FL$25,'Shutters Page 1'!FJ13,'Shutters Page 1'!FI13)</f>
        <v>#N/A</v>
      </c>
      <c r="FL13" s="411" t="e">
        <f>MATCH(G13,Data!$FH$53:$FI$53,0)</f>
        <v>#N/A</v>
      </c>
      <c r="FM13" s="411" t="e">
        <f>MATCH(N13,Data!$FG$54:$FG$60,0)</f>
        <v>#N/A</v>
      </c>
      <c r="FN13" s="411" t="e">
        <f>INDEX(Data!$FH$54:$FI$60,'Shutters Page 1'!FM13,'Shutters Page 1'!FL13)</f>
        <v>#N/A</v>
      </c>
      <c r="FO13" s="411" t="e">
        <f>IF(E13=Data!$FH$35,'Shutters Page 1'!FN13,'Shutters Page 1'!FK13)</f>
        <v>#N/A</v>
      </c>
      <c r="FP13" s="351" t="e">
        <f>MATCH(G13,Data!$ME$26:$MG$26,0)</f>
        <v>#N/A</v>
      </c>
      <c r="FQ13" s="174" t="e">
        <f>MATCH(E13,Data!$MD$27:$MD$29,0)</f>
        <v>#N/A</v>
      </c>
      <c r="FR13" s="351" t="e">
        <f>INDEX(Data!$ME$27:$MG$29, 'Shutters Page 1'!FQ13, 'Shutters Page 1'!FP13)</f>
        <v>#N/A</v>
      </c>
      <c r="FS13" s="351" t="e">
        <f>MATCH(G13,Data!$AAF$1:$AAH$1,0)</f>
        <v>#N/A</v>
      </c>
      <c r="FT13" s="174" t="e">
        <f>MATCH(N13,Data!$AAE$2:$AAE$8,0)</f>
        <v>#N/A</v>
      </c>
      <c r="FU13" s="351" t="e">
        <f>INDEX(Data!$AAF$2:$AAH$8, 'Shutters Page 1'!FT13, 'Shutters Page 1'!FS13)</f>
        <v>#N/A</v>
      </c>
      <c r="FV13" s="351" t="e">
        <f>MATCH(G13,Data!$AAF$12:$AAH$12,0)</f>
        <v>#N/A</v>
      </c>
      <c r="FW13" s="174" t="e">
        <f>MATCH(N13,Data!$AAE$13:$AAE$19,0)</f>
        <v>#N/A</v>
      </c>
      <c r="FX13" s="351" t="e">
        <f>INDEX(Data!$AAF$13:$AAH$19, 'Shutters Page 1'!FW13, 'Shutters Page 1'!FV13)</f>
        <v>#N/A</v>
      </c>
      <c r="FY13" s="351" t="e">
        <f>MATCH(G13,Data!$AAK$1:$AAM$1,0)</f>
        <v>#N/A</v>
      </c>
      <c r="FZ13" s="174" t="e">
        <f>MATCH(Q13,Data!$AAJ$2,0)</f>
        <v>#N/A</v>
      </c>
      <c r="GA13" s="351" t="e">
        <f>INDEX(Data!$AAK$2:$AAM$2, 'Shutters Page 1'!FZ13, 'Shutters Page 1'!FY13)</f>
        <v>#N/A</v>
      </c>
      <c r="GB13" s="351" t="e">
        <f>MATCH(G13,Data!$AAK$12:$AAM$12,0)</f>
        <v>#N/A</v>
      </c>
      <c r="GC13" s="174" t="e">
        <f>MATCH(Q13,Data!$AAJ$13,0)</f>
        <v>#N/A</v>
      </c>
      <c r="GD13" s="351" t="e">
        <f>INDEX(Data!$AAK$13:$AAM$13, 'Shutters Page 1'!GC13, 'Shutters Page 1'!GB13)</f>
        <v>#N/A</v>
      </c>
      <c r="GE13" s="162" t="e">
        <f>VLOOKUP(H13,Data!$AAR$1:$AAS$35,2,FALSE)</f>
        <v>#N/A</v>
      </c>
      <c r="GF13" s="162" t="e">
        <f t="shared" si="50"/>
        <v>#N/A</v>
      </c>
      <c r="GG13" s="162" t="e">
        <f t="shared" si="51"/>
        <v>#N/A</v>
      </c>
      <c r="GH13" s="162" t="e">
        <f t="shared" si="52"/>
        <v>#N/A</v>
      </c>
      <c r="GI13" s="162" t="str">
        <f>IF(G13=Data!$NC$1,Data!$ND$1,Data!$NE$1)</f>
        <v>FauxwoodStile</v>
      </c>
      <c r="GL13" s="55" t="e">
        <f>VLOOKUP('Shutters Page 1'!H13,Data!$BD$81:$BE$115,2,FALSE)</f>
        <v>#N/A</v>
      </c>
      <c r="GM13" s="55" t="e">
        <f>IF(GL13=Data!$BB$80,"Yes", "No")</f>
        <v>#N/A</v>
      </c>
      <c r="GN13" s="55" t="e">
        <f>IF(GM13="Yes",Data!$EJ$57,'Shutters Page 1'!EB13)</f>
        <v>#N/A</v>
      </c>
      <c r="GQ13" s="55" t="b">
        <f>IF(G13=$GQ$6,Data!$EN$47,IF(G13='Shutters Page 1'!$GQ$7,Data!$EM$47))</f>
        <v>0</v>
      </c>
    </row>
    <row r="14" spans="1:199" ht="36.75" customHeight="1">
      <c r="A14" s="53">
        <v>6</v>
      </c>
      <c r="B14" s="17"/>
      <c r="C14" s="14"/>
      <c r="D14" s="14"/>
      <c r="E14" s="14"/>
      <c r="F14" s="10"/>
      <c r="G14" s="13"/>
      <c r="H14" s="555"/>
      <c r="I14" s="603"/>
      <c r="J14" s="14"/>
      <c r="K14" s="149" t="str">
        <f t="shared" si="0"/>
        <v/>
      </c>
      <c r="L14" s="15"/>
      <c r="M14" s="15"/>
      <c r="N14" s="15"/>
      <c r="O14" s="15"/>
      <c r="P14" s="15"/>
      <c r="Q14" s="486"/>
      <c r="R14" s="486"/>
      <c r="S14" s="13"/>
      <c r="T14" s="13"/>
      <c r="U14" s="13"/>
      <c r="V14" s="13"/>
      <c r="W14" s="15"/>
      <c r="X14" s="15"/>
      <c r="Y14" s="16"/>
      <c r="Z14" s="16"/>
      <c r="AA14" s="14"/>
      <c r="AB14" s="14"/>
      <c r="AC14" s="14"/>
      <c r="AD14" s="386"/>
      <c r="AE14" s="169" t="str">
        <f t="shared" si="1"/>
        <v/>
      </c>
      <c r="AF14" s="236"/>
      <c r="AG14" s="237"/>
      <c r="AI14" s="55">
        <f t="shared" si="2"/>
        <v>0</v>
      </c>
      <c r="AJ14" s="55">
        <f t="shared" si="3"/>
        <v>0</v>
      </c>
      <c r="AK14" s="55">
        <f>IF(P14&lt;&gt;"",VLOOKUP(P14,Data!$AAY$2:$AAZ$44,2,FALSE),0)</f>
        <v>0</v>
      </c>
      <c r="AL14" s="55" t="str">
        <f>IF(E14=Data!$BB$10,Data!$BC$10,Data!$BC$2)</f>
        <v>ShutterMaterial</v>
      </c>
      <c r="AP14" s="55" t="str">
        <f t="shared" si="53"/>
        <v>SlidingSystemNA</v>
      </c>
      <c r="AV14" s="114" t="str">
        <f t="shared" si="4"/>
        <v/>
      </c>
      <c r="AW14" s="66" t="e">
        <f t="shared" si="5"/>
        <v>#N/A</v>
      </c>
      <c r="AX14" s="174" t="e">
        <f>VLOOKUP(Q14,Data!$MI$2:$MJ$4,2,FALSE)</f>
        <v>#N/A</v>
      </c>
      <c r="AY14" s="174" t="e">
        <f t="shared" si="6"/>
        <v>#N/A</v>
      </c>
      <c r="AZ14" s="174" t="e">
        <f>VLOOKUP(N14,Data!$BI$24:$BJ$30,2,FALSE)</f>
        <v>#N/A</v>
      </c>
      <c r="BA14" s="160" t="b">
        <f>IF(G14=Data!$BO$2,Data!$BS$2, IF('Shutters Page 1'!G14=Data!$BP$2,Data!$BT$2, IF('Shutters Page 1'!G14=Data!$BQ$2,Data!$BU$2)))</f>
        <v>0</v>
      </c>
      <c r="BB14" s="361" t="str">
        <f t="shared" si="7"/>
        <v>No</v>
      </c>
      <c r="BC14" s="160" t="e">
        <f t="shared" si="8"/>
        <v>#DIV/0!</v>
      </c>
      <c r="BD14" s="361" t="e">
        <f t="shared" si="9"/>
        <v>#DIV/0!</v>
      </c>
      <c r="BE14" s="160" t="e">
        <f t="shared" si="10"/>
        <v>#DIV/0!</v>
      </c>
      <c r="BF14" s="361" t="str">
        <f t="shared" si="11"/>
        <v>No</v>
      </c>
      <c r="BG14" s="160" t="str">
        <f t="shared" si="12"/>
        <v>NotRequired</v>
      </c>
      <c r="BH14" s="160" t="b">
        <f>IF(G14=Data!$BO$2,Data!$CM$2, IF('Shutters Page 1'!G14=Data!$BP$2,Data!$CN$2, IF('Shutters Page 1'!G14=Data!$BQ$2,Data!$CO$2)))</f>
        <v>0</v>
      </c>
      <c r="BI14" s="160" t="e">
        <f t="shared" si="54"/>
        <v>#DIV/0!</v>
      </c>
      <c r="BJ14" s="161" t="str">
        <f t="shared" si="13"/>
        <v>NoHighlight</v>
      </c>
      <c r="BK14" s="361" t="str">
        <f t="shared" si="14"/>
        <v>FauxwoodRPNo</v>
      </c>
      <c r="BL14" s="161" t="str">
        <f>IF(SUM(--ISNUMBER( SEARCH({"t","T"},P14))),"Yes","No")</f>
        <v>No</v>
      </c>
      <c r="BM14" s="161" t="str">
        <f t="shared" si="15"/>
        <v>OK</v>
      </c>
      <c r="BN14" s="161" t="str">
        <f t="shared" si="16"/>
        <v>OK</v>
      </c>
      <c r="BO14" s="161" t="str">
        <f t="shared" si="17"/>
        <v>OK</v>
      </c>
      <c r="BP14" s="161" t="e">
        <f>IF(OR(AND(F14&gt;1,#REF!="L",#REF!="l"),AND(F14&gt;1,#REF!="R",#REF!="r"),AND(F14&gt;2,#REF!="LR",#REF!="lr")), "Error","OK")</f>
        <v>#REF!</v>
      </c>
      <c r="BQ14" s="161" t="str">
        <f t="shared" si="18"/>
        <v>FauxwoodAINo</v>
      </c>
      <c r="BR14" s="161" t="str">
        <f>IF(SUM(--ISNUMBER(SEARCH({"combo","Combo","COMBO"}, B31))),"Yes","No")</f>
        <v>No</v>
      </c>
      <c r="BS14" s="161" t="str">
        <f t="shared" si="55"/>
        <v>No</v>
      </c>
      <c r="BT14" s="161" t="str">
        <f>IF(SUM(--ISNUMBER( SEARCH({"c","C","b","B"},#REF!))),"Yes","No")</f>
        <v>No</v>
      </c>
      <c r="BU14" s="162">
        <f t="shared" si="19"/>
        <v>0</v>
      </c>
      <c r="BV14" s="174" t="str">
        <f>IF(N14=Data!$BI$3,Data!$DR$3,IF(N14=Data!$BI$4,Data!$DS$3,IF(N14=Data!$BI$5,Data!$DT$3,IF(N14=Data!$BI$6,Data!$DU$3,IF(N14=Data!$BI$7,Data!$DV$3, IF(N14=Data!$BI$8,Data!$DX$3, IF(N14=Data!$BI$9,Data!$DW$3, "")))))))</f>
        <v/>
      </c>
      <c r="BW14" s="174" t="str">
        <f>IF(N14=Data!$BI$3,Data!$DY$3,IF(N14=Data!$BI$4,Data!$DZ$3,IF(N14=Data!$BI$5,Data!$EA$3,IF(N14=Data!$BI$6,Data!$EB$3,IF(N14=Data!$BI$7,Data!$EC$3,IF(N14=Data!$BI$8,Data!$EE$3, IF(N14=Data!$BI$9,Data!$ED$3,"")))))))</f>
        <v/>
      </c>
      <c r="BX14" s="162">
        <f t="shared" si="20"/>
        <v>0</v>
      </c>
      <c r="BY14" s="162">
        <f t="shared" si="21"/>
        <v>0</v>
      </c>
      <c r="BZ14" s="174" t="e">
        <f t="shared" si="22"/>
        <v>#DIV/0!</v>
      </c>
      <c r="CA14" s="351" t="b">
        <f>IF(G14=Data!$EU$2,Data!$ES$2,IF(G14=Data!$EU$3,Data!$ER$2, IF(G14=Data!$EU$5,Data!$ET$2, IF(G14=Data!$EU$4,Data!$EQ$2,IF(G14=Data!$EU$6,Data!$ER$2)))))</f>
        <v>0</v>
      </c>
      <c r="CB14" s="351" t="b">
        <f>IF(G14=Data!$EU$2,Data!$EW$2,IF(G14=Data!$EU$3,Data!$EX$2,IF(G14=Data!$EU$4,Data!$EY$2, IF(G14=Data!$EU$5,Data!$EY$2,IF(G14=Data!$EU$6,Data!$EX$2)))))</f>
        <v>0</v>
      </c>
      <c r="CC14" s="174" t="e">
        <f>VLOOKUP(M14,Data!$EJ$3:$EK$15,2,FALSE)</f>
        <v>#N/A</v>
      </c>
      <c r="CD14" s="174" t="str">
        <f>IF(J14="114mm",VLOOKUP(H14,Data!$FA$2:$FB$18,2,FALSE),"OK")</f>
        <v>OK</v>
      </c>
      <c r="CE14" s="174" t="e">
        <f t="shared" si="23"/>
        <v>#DIV/0!</v>
      </c>
      <c r="CF14" s="174" t="str">
        <f>IF(OR(AND(S14="",Q14&lt;&gt;"")),VLOOKUP(Q14,Data!$FC$2:$FD$19,2,FALSE),"")</f>
        <v/>
      </c>
      <c r="CG14" s="174" t="str">
        <f>IF(N14=Data!$BI$3,Data!$FJ$1,IF(N14=Data!$BI$4,Data!$FK$1,IF(N14=Data!$BI$5,Data!$FL$1,IF(N14=Data!$BI$6,Data!$FM$1,IF(N14=Data!$BI$7,Data!$FN$1, IF(N14=Data!$BI$8,Data!$FO$1, IF(N14=Data!$BI$9,Data!$FI$1, "")))))))</f>
        <v/>
      </c>
      <c r="CH14" s="174" t="str">
        <f>IF(SUM(--ISNUMBER(SEARCH({"z","Z"}, Q14))),"Yes","No")</f>
        <v>No</v>
      </c>
      <c r="CI14" s="174" t="str">
        <f t="shared" si="24"/>
        <v>OK</v>
      </c>
      <c r="CJ14" s="174">
        <f t="shared" si="25"/>
        <v>0</v>
      </c>
      <c r="CK14" s="174" t="e">
        <f>VLOOKUP(P14,Data!$DO$4:$DP$157,2,FALSE)</f>
        <v>#N/A</v>
      </c>
      <c r="CL14" s="174" t="e">
        <f t="shared" si="26"/>
        <v>#N/A</v>
      </c>
      <c r="CM14" s="162"/>
      <c r="CN14" s="162"/>
      <c r="CO14" s="162"/>
      <c r="CP14" s="366" t="str">
        <f t="shared" si="27"/>
        <v>OK</v>
      </c>
      <c r="CQ14" s="174" t="b">
        <f t="shared" si="28"/>
        <v>0</v>
      </c>
      <c r="CR14" s="174">
        <f t="shared" si="29"/>
        <v>0</v>
      </c>
      <c r="CS14" s="174">
        <f t="shared" si="30"/>
        <v>1</v>
      </c>
      <c r="CT14" s="174">
        <f t="shared" si="56"/>
        <v>0</v>
      </c>
      <c r="CU14" s="162" t="e">
        <f t="shared" si="31"/>
        <v>#DIV/0!</v>
      </c>
      <c r="CV14" s="162" t="e">
        <f>VLOOKUP(H14,Data!$BD$81:$BE$111,2,FALSE)</f>
        <v>#N/A</v>
      </c>
      <c r="CW14" s="174" t="str">
        <f t="shared" si="32"/>
        <v/>
      </c>
      <c r="CX14" s="292" t="str">
        <f>IF(H14=Data!$BE$3,Data!$HQ$2, IF(H14=Data!$BE$4,Data!$HP$2, IF(H14=Data!$BE$5,Data!$HR$2, IF(H14=Data!$BE$6,Data!$HO$2))))</f>
        <v>Super WhiteNA</v>
      </c>
      <c r="CY14" s="351" t="b">
        <f>IF(H14=Data!$BH$3,Data!$HU$2, IF(H14=Data!$BH$4,Data!$HT$2, IF(H14=Data!$BH$5,Data!$HS$2)))</f>
        <v>0</v>
      </c>
      <c r="CZ14" s="351" t="b">
        <f>IF(H14=Data!$BF$3,Data!$HQ$16, IF(H14=Data!$BF$4,Data!$HP$16, IF(H14=Data!$BF$5,Data!$HR$16, IF(H14=Data!$BF$6,Data!$HO$16))))</f>
        <v>0</v>
      </c>
      <c r="DA14" s="351" t="b">
        <f>IF(G14=Data!$BC$3,'Shutters Page 1'!CW14,IF(G14=Data!$BC$4,'Shutters Page 1'!CX14,IF(G14=Data!$BC$6,'Shutters Page 1'!CY14, IF(G14=Data!$BC$5, 'Shutters Page 1'!CX14,IF(G14=Data!$BC$7,'Shutters Page 1'!CX14)))))</f>
        <v>0</v>
      </c>
      <c r="DB14" s="162" t="e">
        <f>IF(OR(AND(L14&gt;0,#REF!="")), "Error","OK")</f>
        <v>#REF!</v>
      </c>
      <c r="DC14" s="174" t="e">
        <f>IF(COUNTIF(#REF!,Data!$CX$6),"Yes","")</f>
        <v>#REF!</v>
      </c>
      <c r="DD14" s="55" t="str">
        <f t="shared" si="33"/>
        <v/>
      </c>
      <c r="DG14" s="55" t="str">
        <f>IF(N14=Data!$BI$5,"Yes",IF(N14=Data!$BI$6,"Yes","No"))</f>
        <v>No</v>
      </c>
      <c r="DH14" s="66" t="b">
        <f>IF(N14=Data!$BI$3,Data!$JB$2,IF(N14=Data!$BI$4,Data!$JC$2,IF(N14=Data!$BI$5,Data!$JD$2,IF(N14=Data!$BI$6,DI14,IF(N14=Data!$BI$7,Data!$JF$2, IF(N14=Data!$BI$8,Data!$JA$2, IF(N14=Data!$BI$9,Data!$JG$2)))))))</f>
        <v>0</v>
      </c>
      <c r="DI14" s="55" t="e">
        <f>VLOOKUP(P14,Data!$AAY$2:$ABA$44,3,FALSE)</f>
        <v>#N/A</v>
      </c>
      <c r="DK14" s="66" t="e">
        <f>VLOOKUP(P14,Data!$DO$4:$DQ$157,3,FALSE)</f>
        <v>#N/A</v>
      </c>
      <c r="DL14" s="55" t="e">
        <f t="shared" si="34"/>
        <v>#N/A</v>
      </c>
      <c r="DM14" s="55" t="e">
        <f t="shared" si="57"/>
        <v>#N/A</v>
      </c>
      <c r="DN14" s="162" t="b">
        <f>IF(Q14=Data!$BK$3,Data!$JH$2,IF(Q14=Data!$BK$4,Data!$JI$2,IF(Q14=Data!$BK$5,Data!$JJ$2,IF(Q14=Data!$BK$6,Data!$JK$2,IF(Q14=Data!$BK$7,Data!$JL$2,IF(Q14=Data!$BK$8,Data!$JM$2,IF(Q14=Data!$BK$9,Data!$JN$2,IF(Q14=Data!$BK$10,Data!$JO$2,IF(Q14=Data!$BK$11,Data!$JP$2,IF(Q14=Data!$BK$12,Data!$JQ$2,IF(Q14=Data!$BK$13,Data!$JR$2,IF(Q14=Data!$BK$14,Data!$JS$2,IF(Q14=Data!$BK$15,Data!$JT$2,IF(Q14=Data!$BK$16,Data!$JU$2,IF(Q14=Data!$BK$17,Data!$JV$2,IF(Q14=Data!$BK$18,Data!$JW$2, IF(Q14=Data!$BK$19,Data!$JX$2, IF(Q14=Data!$BK$20,Data!$JY$2, IF(Q14=Data!$BK$21,Data!$JN$2, IF(Q14=Data!$BK$22,Data!$JN$2, IF(Q14=Data!$BK$23,Data!$JN$2, IF(Q14=Data!$BK$24,Data!$JL$19))))))))))))))))))))))</f>
        <v>0</v>
      </c>
      <c r="DO14" s="55" t="str">
        <f>Data!$JH$19</f>
        <v>LRFrameAir</v>
      </c>
      <c r="DP14" s="55" t="b">
        <f>IF(G14=Data!$JH$18,'Shutters Page 1'!DO14,'Shutters Page 1'!DN14)</f>
        <v>0</v>
      </c>
      <c r="DR14" s="174" t="str">
        <f t="shared" si="58"/>
        <v/>
      </c>
      <c r="DS14" s="174" t="e">
        <f t="shared" si="59"/>
        <v>#N/A</v>
      </c>
      <c r="DT14" s="174" t="str">
        <f t="shared" si="35"/>
        <v>OK</v>
      </c>
      <c r="DU14" s="174" t="str">
        <f t="shared" si="36"/>
        <v>OK</v>
      </c>
      <c r="DV14" s="174" t="str">
        <f t="shared" si="37"/>
        <v>OK</v>
      </c>
      <c r="DW14" s="174" t="str">
        <f t="shared" si="38"/>
        <v>OK</v>
      </c>
      <c r="DX14" s="66" t="b">
        <f>IF(N14=Data!$LW$2,Data!$LX$1,IF(N14=Data!$LW$3,Data!$LY$1,IF(N14=Data!$LW$4,Data!$LZ$1,IF(N14=Data!$LW$5,Data!$MA$1,IF(N14=Data!$LW$6,Data!$MB$1,IF(N14=Data!$LW$7,Data!$MC$1, IF(N14=Data!$LW$8,Data!$MX$1)))))))</f>
        <v>0</v>
      </c>
      <c r="DY14" s="66" t="b">
        <f>IF(N14=Data!$LW$2,Data!$LX$147,IF(N14=Data!$LW$7,Data!$MC$1))</f>
        <v>0</v>
      </c>
      <c r="DZ14" s="66" t="b">
        <f>IF(G14=Data!$BC$3,'Shutters Page 1'!DX14,IF(G14=Data!$BC$5,'Shutters Page 1'!DY14))</f>
        <v>0</v>
      </c>
      <c r="EA14" s="66" t="b">
        <f>IF(E14=Data!$MD$2,Data!$ME$2, IF(E14=Data!$MD$3,Data!$MF$2, IF(E14=Data!$MD$4,Data!$MG$2)))</f>
        <v>0</v>
      </c>
      <c r="EB14" s="162" t="str">
        <f>IF(E14="MS",Data!$AK$1,IF(G14=Data!$BC$5,Data!$EJ$40,IF(G14=Data!$BC$4,Data!$EJ$20,Data!$EJ$2)))</f>
        <v>Special_Window_Timber</v>
      </c>
      <c r="EC14" s="66" t="str">
        <f>IF(OR(AND(T14="",Q14&lt;&gt;"")),VLOOKUP(Q14,Data!$FC$2:$FD$18,2,FALSE),"")</f>
        <v/>
      </c>
      <c r="ED14" s="66" t="str">
        <f>IF(OR(AND(U14="",Q14&lt;&gt;"")),VLOOKUP(Q14,Data!$FC$2:$FD$18,2,FALSE),"")</f>
        <v/>
      </c>
      <c r="EE14" s="66" t="str">
        <f>IF(OR(AND(V14="",Q14&lt;&gt;"")),VLOOKUP(Q14,Data!$FC$2:$FD$18,2,FALSE),"")</f>
        <v/>
      </c>
      <c r="EF14" s="162" t="e">
        <f>VLOOKUP(N14,Data!$MK$2:$ML$8,2,FALSE)</f>
        <v>#N/A</v>
      </c>
      <c r="EG14" s="66" t="e">
        <f>VLOOKUP(P14,Data!$DO$4:$DO$158,1,FALSE)</f>
        <v>#N/A</v>
      </c>
      <c r="EH14" s="66" t="e">
        <f t="shared" si="39"/>
        <v>#N/A</v>
      </c>
      <c r="EI14" s="55" t="str">
        <f t="shared" si="40"/>
        <v/>
      </c>
      <c r="EJ14" s="162" t="str">
        <f t="shared" si="41"/>
        <v>OK</v>
      </c>
      <c r="EK14" s="405" t="str">
        <f>Data!$JI$19</f>
        <v>TopBottomFrameAir</v>
      </c>
      <c r="EL14" s="405" t="b">
        <f>IF(G14=Data!$JH$18,EK14,EM14)</f>
        <v>0</v>
      </c>
      <c r="EM14" s="174" t="b">
        <f>IF(Q14=Data!$NN$3,Data!$NO$2, IF(Q14=Data!$NN$4,Data!$NP$2, IF(Q14=Data!$NN$5,Data!$NQ$2, IF(Q14=Data!$NN$6,Data!$NR$2, IF(Q14=Data!$NN$7,Data!$NS$2, IF(Q14=Data!$NN$8,Data!$NT$2, IF(Q14=Data!$NN$9,Data!$NU$2, IF(Q14=Data!$NN$10,Data!$NV$2, IF(Q14=Data!$NN$11,Data!$NW$2, IF(Q14=Data!$NN$12,Data!$NX$2, IF(Q14=Data!$NN$13,Data!$NY$2, IF(Q14=Data!$NN$14,Data!$NZ$2, IF(Q14=Data!$NN$15,Data!$OA$2, IF(Q14=Data!$NN$16,Data!$OB$2, IF(Q14=Data!$NN$17,Data!$OC$2, IF(Q14=Data!$NN$18,Data!$OD$2, IF(Q14=Data!$NN$19,Data!$OE$2, IF(Q14=Data!$NN$20,Data!$OG$2, IF(Q14=Data!$NN$25,Data!$NT$2, IF(Q14=Data!$NN$26,Data!$NT$2, IF(Q14=Data!$NN$27,Data!$NT$2, IF(Q14=Data!$NN$28,Data!$OH$2))))))))))))))))))))))</f>
        <v>0</v>
      </c>
      <c r="EN14" s="174" t="b">
        <f>IF(O14=$EN$7,Data!$OD$15,'Shutters Page 1'!EO14)</f>
        <v>0</v>
      </c>
      <c r="EO14" s="174" t="b">
        <f>IF(Q14=Data!$NN$3,Data!$NO$15,IF(Q14=Data!$NN$4,Data!$NP$15,IF(Q14=Data!$NN$5,Data!$NQ$15,IF(Q14=Data!$NN$6,Data!$NR$15,IF(Q14=Data!$NN$7,Data!$NS$15,IF(Q14=Data!$NN$8,Data!$NT$15,IF(Q14=Data!$NN$9,Data!$NU$15,IF(Q14=Data!$NN$10,Data!$NV$15,IF(Q14=Data!$NN$11,Data!$NW$15,IF(Q14=Data!$NN$12,Data!$NX$15,IF(Q14=Data!$NN$13,Data!$NY$15,IF(Q14=Data!$NN$14,Data!$NZ$15,IF(N14=Data!$NN$22,Data!$OA$15,IF(N14=Data!$NN$23,Data!$OB$15,IF(Q14=Data!$NN$19,Data!$OC$15, IF(Q14=Data!$NN$20,Data!$OG$15,IF(Q14=Data!$NN$25,Data!$NT$15,IF(Q14=Data!$NN$26,Data!$NT$15,IF(Q14=Data!$NN$27,Data!$NT$15,IF(Q14=Data!$NN$28,Data!$OH$15))))))))))))))))))))</f>
        <v>0</v>
      </c>
      <c r="EP14" s="406" t="str">
        <f>Data!$JI$19</f>
        <v>TopBottomFrameAir</v>
      </c>
      <c r="EQ14" s="406" t="b">
        <f>IF(G14=Data!$JH$18,EP14,EN14)</f>
        <v>0</v>
      </c>
      <c r="ER14" s="351" t="e">
        <f>MATCH(G14,Data!$CW$10:$CW$14,0)</f>
        <v>#N/A</v>
      </c>
      <c r="ES14" s="174" t="e">
        <f>MATCH(J14,Data!$CX$9:$DA$9,0)</f>
        <v>#N/A</v>
      </c>
      <c r="ET14" s="355" t="e">
        <f>INDEX(Data!$CX$10:$DA$14,'Shutters Page 1'!ER14,'Shutters Page 1'!ES14)</f>
        <v>#N/A</v>
      </c>
      <c r="EU14" s="355" t="e">
        <f>VLOOKUP(H14,Data!$BD$81:$BE$115,2,FALSE)</f>
        <v>#N/A</v>
      </c>
      <c r="EV14" s="355" t="e">
        <f>IF(EU14=Data!$BB$80,Data!$CW$20,'Shutters Page 1'!ET14)</f>
        <v>#N/A</v>
      </c>
      <c r="EW14" s="174" t="str">
        <f>IF(SUM(--ISNUMBER(SEARCH({"combo","Combo","COMBO"}, B31))),"Yes","No")</f>
        <v>No</v>
      </c>
      <c r="EX14" s="174" t="str">
        <f>IF(SUM(--ISNUMBER(SEARCH({"combo","Combo","COMBO"}, F31))),"Yes","No")</f>
        <v>No</v>
      </c>
      <c r="EY14" s="174" t="str">
        <f t="shared" si="60"/>
        <v>No</v>
      </c>
      <c r="EZ14" s="162">
        <f t="shared" si="42"/>
        <v>1</v>
      </c>
      <c r="FA14" s="162" t="e">
        <f t="shared" si="43"/>
        <v>#DIV/0!</v>
      </c>
      <c r="FB14" s="174" t="str">
        <f t="shared" si="44"/>
        <v/>
      </c>
      <c r="FC14" s="351" t="str">
        <f t="shared" si="45"/>
        <v/>
      </c>
      <c r="FD14" s="351" t="str">
        <f t="shared" si="46"/>
        <v/>
      </c>
      <c r="FE14" s="174" t="str">
        <f t="shared" si="47"/>
        <v/>
      </c>
      <c r="FF14" s="174" t="str">
        <f t="shared" si="48"/>
        <v/>
      </c>
      <c r="FG14" s="174" t="str">
        <f t="shared" si="49"/>
        <v/>
      </c>
      <c r="FH14" s="278" t="str">
        <f t="shared" si="61"/>
        <v>No</v>
      </c>
      <c r="FI14" s="351" t="e">
        <f>MATCH(G14,Data!$FH$18:$FL$18,0)</f>
        <v>#N/A</v>
      </c>
      <c r="FJ14" s="174" t="e">
        <f>MATCH(N14,Data!$FG$19:$FG$25,0)</f>
        <v>#N/A</v>
      </c>
      <c r="FK14" s="351" t="e">
        <f>INDEX(Data!$FH$19:$FL$25,'Shutters Page 1'!FJ14,'Shutters Page 1'!FI14)</f>
        <v>#N/A</v>
      </c>
      <c r="FL14" s="411" t="e">
        <f>MATCH(G14,Data!$FH$53:$FI$53,0)</f>
        <v>#N/A</v>
      </c>
      <c r="FM14" s="411" t="e">
        <f>MATCH(N14,Data!$FG$54:$FG$60,0)</f>
        <v>#N/A</v>
      </c>
      <c r="FN14" s="411" t="e">
        <f>INDEX(Data!$FH$54:$FI$60,'Shutters Page 1'!FM14,'Shutters Page 1'!FL14)</f>
        <v>#N/A</v>
      </c>
      <c r="FO14" s="411" t="e">
        <f>IF(E14=Data!$FH$35,'Shutters Page 1'!FN14,'Shutters Page 1'!FK14)</f>
        <v>#N/A</v>
      </c>
      <c r="FP14" s="351" t="e">
        <f>MATCH(G14,Data!$ME$26:$MG$26,0)</f>
        <v>#N/A</v>
      </c>
      <c r="FQ14" s="174" t="e">
        <f>MATCH(E14,Data!$MD$27:$MD$29,0)</f>
        <v>#N/A</v>
      </c>
      <c r="FR14" s="351" t="e">
        <f>INDEX(Data!$ME$27:$MG$29, 'Shutters Page 1'!FQ14, 'Shutters Page 1'!FP14)</f>
        <v>#N/A</v>
      </c>
      <c r="FS14" s="351" t="e">
        <f>MATCH(G14,Data!$AAF$1:$AAH$1,0)</f>
        <v>#N/A</v>
      </c>
      <c r="FT14" s="174" t="e">
        <f>MATCH(N14,Data!$AAE$2:$AAE$8,0)</f>
        <v>#N/A</v>
      </c>
      <c r="FU14" s="351" t="e">
        <f>INDEX(Data!$AAF$2:$AAH$8, 'Shutters Page 1'!FT14, 'Shutters Page 1'!FS14)</f>
        <v>#N/A</v>
      </c>
      <c r="FV14" s="351" t="e">
        <f>MATCH(G14,Data!$AAF$12:$AAH$12,0)</f>
        <v>#N/A</v>
      </c>
      <c r="FW14" s="174" t="e">
        <f>MATCH(N14,Data!$AAE$13:$AAE$19,0)</f>
        <v>#N/A</v>
      </c>
      <c r="FX14" s="351" t="e">
        <f>INDEX(Data!$AAF$13:$AAH$19, 'Shutters Page 1'!FW14, 'Shutters Page 1'!FV14)</f>
        <v>#N/A</v>
      </c>
      <c r="FY14" s="351" t="e">
        <f>MATCH(G14,Data!$AAK$1:$AAM$1,0)</f>
        <v>#N/A</v>
      </c>
      <c r="FZ14" s="174" t="e">
        <f>MATCH(Q14,Data!$AAJ$2,0)</f>
        <v>#N/A</v>
      </c>
      <c r="GA14" s="351" t="e">
        <f>INDEX(Data!$AAK$2:$AAM$2, 'Shutters Page 1'!FZ14, 'Shutters Page 1'!FY14)</f>
        <v>#N/A</v>
      </c>
      <c r="GB14" s="351" t="e">
        <f>MATCH(G14,Data!$AAK$12:$AAM$12,0)</f>
        <v>#N/A</v>
      </c>
      <c r="GC14" s="174" t="e">
        <f>MATCH(Q14,Data!$AAJ$13,0)</f>
        <v>#N/A</v>
      </c>
      <c r="GD14" s="351" t="e">
        <f>INDEX(Data!$AAK$13:$AAM$13, 'Shutters Page 1'!GC14, 'Shutters Page 1'!GB14)</f>
        <v>#N/A</v>
      </c>
      <c r="GE14" s="162" t="e">
        <f>VLOOKUP(H14,Data!$AAR$1:$AAS$35,2,FALSE)</f>
        <v>#N/A</v>
      </c>
      <c r="GF14" s="162" t="e">
        <f t="shared" si="50"/>
        <v>#N/A</v>
      </c>
      <c r="GG14" s="162" t="e">
        <f t="shared" si="51"/>
        <v>#N/A</v>
      </c>
      <c r="GH14" s="162" t="e">
        <f t="shared" si="52"/>
        <v>#N/A</v>
      </c>
      <c r="GI14" s="162" t="str">
        <f>IF(G14=Data!$NC$1,Data!$ND$1,Data!$NE$1)</f>
        <v>FauxwoodStile</v>
      </c>
      <c r="GL14" s="55" t="e">
        <f>VLOOKUP('Shutters Page 1'!H14,Data!$BD$81:$BE$115,2,FALSE)</f>
        <v>#N/A</v>
      </c>
      <c r="GM14" s="55" t="e">
        <f>IF(GL14=Data!$BB$80,"Yes", "No")</f>
        <v>#N/A</v>
      </c>
      <c r="GN14" s="55" t="e">
        <f>IF(GM14="Yes",Data!$EJ$57,'Shutters Page 1'!EB14)</f>
        <v>#N/A</v>
      </c>
      <c r="GQ14" s="55" t="b">
        <f>IF(G14=$GQ$6,Data!$EN$47,IF(G14='Shutters Page 1'!$GQ$7,Data!$EM$47))</f>
        <v>0</v>
      </c>
    </row>
    <row r="15" spans="1:199" ht="36.75" customHeight="1">
      <c r="A15" s="53">
        <v>7</v>
      </c>
      <c r="B15" s="17"/>
      <c r="C15" s="14"/>
      <c r="D15" s="14"/>
      <c r="E15" s="14"/>
      <c r="F15" s="10"/>
      <c r="G15" s="13"/>
      <c r="H15" s="555"/>
      <c r="I15" s="603"/>
      <c r="J15" s="14"/>
      <c r="K15" s="149" t="str">
        <f t="shared" si="0"/>
        <v/>
      </c>
      <c r="L15" s="15"/>
      <c r="M15" s="15"/>
      <c r="N15" s="15"/>
      <c r="O15" s="15"/>
      <c r="P15" s="15"/>
      <c r="Q15" s="486"/>
      <c r="R15" s="486"/>
      <c r="S15" s="13"/>
      <c r="T15" s="13"/>
      <c r="U15" s="13"/>
      <c r="V15" s="13"/>
      <c r="W15" s="15"/>
      <c r="X15" s="15"/>
      <c r="Y15" s="16"/>
      <c r="Z15" s="16"/>
      <c r="AA15" s="14"/>
      <c r="AB15" s="14"/>
      <c r="AC15" s="14"/>
      <c r="AD15" s="386"/>
      <c r="AE15" s="169" t="str">
        <f t="shared" si="1"/>
        <v/>
      </c>
      <c r="AF15" s="236"/>
      <c r="AG15" s="237"/>
      <c r="AI15" s="55">
        <f t="shared" si="2"/>
        <v>0</v>
      </c>
      <c r="AJ15" s="55">
        <f t="shared" si="3"/>
        <v>0</v>
      </c>
      <c r="AK15" s="55">
        <f>IF(P15&lt;&gt;"",VLOOKUP(P15,Data!$AAY$2:$AAZ$44,2,FALSE),0)</f>
        <v>0</v>
      </c>
      <c r="AL15" s="55" t="str">
        <f>IF(E15=Data!$BB$10,Data!$BC$10,Data!$BC$2)</f>
        <v>ShutterMaterial</v>
      </c>
      <c r="AP15" s="55" t="str">
        <f t="shared" si="53"/>
        <v>SlidingSystemNA</v>
      </c>
      <c r="AV15" s="114" t="str">
        <f t="shared" si="4"/>
        <v/>
      </c>
      <c r="AW15" s="66" t="e">
        <f t="shared" si="5"/>
        <v>#N/A</v>
      </c>
      <c r="AX15" s="174" t="e">
        <f>VLOOKUP(Q15,Data!$MI$2:$MJ$4,2,FALSE)</f>
        <v>#N/A</v>
      </c>
      <c r="AY15" s="174" t="e">
        <f t="shared" si="6"/>
        <v>#N/A</v>
      </c>
      <c r="AZ15" s="174" t="e">
        <f>VLOOKUP(N15,Data!$BI$24:$BJ$30,2,FALSE)</f>
        <v>#N/A</v>
      </c>
      <c r="BA15" s="160" t="b">
        <f>IF(G15=Data!$BO$2,Data!$BS$2, IF('Shutters Page 1'!G15=Data!$BP$2,Data!$BT$2, IF('Shutters Page 1'!G15=Data!$BQ$2,Data!$BU$2)))</f>
        <v>0</v>
      </c>
      <c r="BB15" s="361" t="str">
        <f t="shared" si="7"/>
        <v>No</v>
      </c>
      <c r="BC15" s="160" t="e">
        <f t="shared" si="8"/>
        <v>#DIV/0!</v>
      </c>
      <c r="BD15" s="361" t="e">
        <f t="shared" si="9"/>
        <v>#DIV/0!</v>
      </c>
      <c r="BE15" s="160" t="e">
        <f t="shared" si="10"/>
        <v>#DIV/0!</v>
      </c>
      <c r="BF15" s="361" t="str">
        <f t="shared" si="11"/>
        <v>No</v>
      </c>
      <c r="BG15" s="160" t="str">
        <f t="shared" si="12"/>
        <v>NotRequired</v>
      </c>
      <c r="BH15" s="160" t="b">
        <f>IF(G15=Data!$BO$2,Data!$CM$2, IF('Shutters Page 1'!G15=Data!$BP$2,Data!$CN$2, IF('Shutters Page 1'!G15=Data!$BQ$2,Data!$CO$2)))</f>
        <v>0</v>
      </c>
      <c r="BI15" s="160" t="e">
        <f t="shared" si="54"/>
        <v>#DIV/0!</v>
      </c>
      <c r="BJ15" s="161" t="str">
        <f t="shared" si="13"/>
        <v>NoHighlight</v>
      </c>
      <c r="BK15" s="361" t="str">
        <f t="shared" si="14"/>
        <v>FauxwoodRPNo</v>
      </c>
      <c r="BL15" s="161" t="str">
        <f>IF(SUM(--ISNUMBER( SEARCH({"t","T"},P15))),"Yes","No")</f>
        <v>No</v>
      </c>
      <c r="BM15" s="161" t="str">
        <f t="shared" si="15"/>
        <v>OK</v>
      </c>
      <c r="BN15" s="161" t="str">
        <f t="shared" si="16"/>
        <v>OK</v>
      </c>
      <c r="BO15" s="161" t="str">
        <f t="shared" si="17"/>
        <v>OK</v>
      </c>
      <c r="BP15" s="161" t="e">
        <f>IF(OR(AND(F15&gt;1,#REF!="L",#REF!="l"),AND(F15&gt;1,#REF!="R",#REF!="r"),AND(F15&gt;2,#REF!="LR",#REF!="lr")), "Error","OK")</f>
        <v>#REF!</v>
      </c>
      <c r="BQ15" s="161" t="str">
        <f t="shared" si="18"/>
        <v>FauxwoodAINo</v>
      </c>
      <c r="BR15" s="161" t="str">
        <f>IF(SUM(--ISNUMBER(SEARCH({"combo","Combo","COMBO"}, B32))),"Yes","No")</f>
        <v>No</v>
      </c>
      <c r="BS15" s="161" t="str">
        <f t="shared" si="55"/>
        <v>No</v>
      </c>
      <c r="BT15" s="161" t="str">
        <f>IF(SUM(--ISNUMBER( SEARCH({"c","C","b","B"},#REF!))),"Yes","No")</f>
        <v>No</v>
      </c>
      <c r="BU15" s="162">
        <f t="shared" si="19"/>
        <v>0</v>
      </c>
      <c r="BV15" s="174" t="str">
        <f>IF(N15=Data!$BI$3,Data!$DR$3,IF(N15=Data!$BI$4,Data!$DS$3,IF(N15=Data!$BI$5,Data!$DT$3,IF(N15=Data!$BI$6,Data!$DU$3,IF(N15=Data!$BI$7,Data!$DV$3, IF(N15=Data!$BI$8,Data!$DX$3, IF(N15=Data!$BI$9,Data!$DW$3, "")))))))</f>
        <v/>
      </c>
      <c r="BW15" s="174" t="str">
        <f>IF(N15=Data!$BI$3,Data!$DY$3,IF(N15=Data!$BI$4,Data!$DZ$3,IF(N15=Data!$BI$5,Data!$EA$3,IF(N15=Data!$BI$6,Data!$EB$3,IF(N15=Data!$BI$7,Data!$EC$3,IF(N15=Data!$BI$8,Data!$EE$3, IF(N15=Data!$BI$9,Data!$ED$3,"")))))))</f>
        <v/>
      </c>
      <c r="BX15" s="162">
        <f t="shared" si="20"/>
        <v>0</v>
      </c>
      <c r="BY15" s="162">
        <f t="shared" si="21"/>
        <v>0</v>
      </c>
      <c r="BZ15" s="174" t="e">
        <f t="shared" si="22"/>
        <v>#DIV/0!</v>
      </c>
      <c r="CA15" s="351" t="b">
        <f>IF(G15=Data!$EU$2,Data!$ES$2,IF(G15=Data!$EU$3,Data!$ER$2, IF(G15=Data!$EU$5,Data!$ET$2, IF(G15=Data!$EU$4,Data!$EQ$2,IF(G15=Data!$EU$6,Data!$ER$2)))))</f>
        <v>0</v>
      </c>
      <c r="CB15" s="351" t="b">
        <f>IF(G15=Data!$EU$2,Data!$EW$2,IF(G15=Data!$EU$3,Data!$EX$2,IF(G15=Data!$EU$4,Data!$EY$2, IF(G15=Data!$EU$5,Data!$EY$2,IF(G15=Data!$EU$6,Data!$EX$2)))))</f>
        <v>0</v>
      </c>
      <c r="CC15" s="174" t="e">
        <f>VLOOKUP(M15,Data!$EJ$3:$EK$15,2,FALSE)</f>
        <v>#N/A</v>
      </c>
      <c r="CD15" s="174" t="str">
        <f>IF(J15="114mm",VLOOKUP(H15,Data!$FA$2:$FB$18,2,FALSE),"OK")</f>
        <v>OK</v>
      </c>
      <c r="CE15" s="174" t="e">
        <f t="shared" si="23"/>
        <v>#DIV/0!</v>
      </c>
      <c r="CF15" s="174" t="str">
        <f>IF(OR(AND(S15="",Q15&lt;&gt;"")),VLOOKUP(Q15,Data!$FC$2:$FD$19,2,FALSE),"")</f>
        <v/>
      </c>
      <c r="CG15" s="174" t="str">
        <f>IF(N15=Data!$BI$3,Data!$FJ$1,IF(N15=Data!$BI$4,Data!$FK$1,IF(N15=Data!$BI$5,Data!$FL$1,IF(N15=Data!$BI$6,Data!$FM$1,IF(N15=Data!$BI$7,Data!$FN$1, IF(N15=Data!$BI$8,Data!$FO$1, IF(N15=Data!$BI$9,Data!$FI$1, "")))))))</f>
        <v/>
      </c>
      <c r="CH15" s="174" t="str">
        <f>IF(SUM(--ISNUMBER(SEARCH({"z","Z"}, Q15))),"Yes","No")</f>
        <v>No</v>
      </c>
      <c r="CI15" s="174" t="str">
        <f t="shared" si="24"/>
        <v>OK</v>
      </c>
      <c r="CJ15" s="174">
        <f t="shared" si="25"/>
        <v>0</v>
      </c>
      <c r="CK15" s="174" t="e">
        <f>VLOOKUP(P15,Data!$DO$4:$DP$157,2,FALSE)</f>
        <v>#N/A</v>
      </c>
      <c r="CL15" s="174" t="e">
        <f t="shared" si="26"/>
        <v>#N/A</v>
      </c>
      <c r="CM15" s="162"/>
      <c r="CN15" s="162"/>
      <c r="CO15" s="162"/>
      <c r="CP15" s="366" t="str">
        <f t="shared" si="27"/>
        <v>OK</v>
      </c>
      <c r="CQ15" s="174" t="b">
        <f t="shared" si="28"/>
        <v>0</v>
      </c>
      <c r="CR15" s="174">
        <f t="shared" si="29"/>
        <v>0</v>
      </c>
      <c r="CS15" s="174">
        <f t="shared" si="30"/>
        <v>1</v>
      </c>
      <c r="CT15" s="174">
        <f t="shared" si="56"/>
        <v>0</v>
      </c>
      <c r="CU15" s="162" t="e">
        <f t="shared" si="31"/>
        <v>#DIV/0!</v>
      </c>
      <c r="CV15" s="162" t="e">
        <f>VLOOKUP(H15,Data!$BD$81:$BE$111,2,FALSE)</f>
        <v>#N/A</v>
      </c>
      <c r="CW15" s="174" t="str">
        <f t="shared" si="32"/>
        <v/>
      </c>
      <c r="CX15" s="292" t="str">
        <f>IF(H15=Data!$BE$3,Data!$HQ$2, IF(H15=Data!$BE$4,Data!$HP$2, IF(H15=Data!$BE$5,Data!$HR$2, IF(H15=Data!$BE$6,Data!$HO$2))))</f>
        <v>Super WhiteNA</v>
      </c>
      <c r="CY15" s="351" t="b">
        <f>IF(H15=Data!$BH$3,Data!$HU$2, IF(H15=Data!$BH$4,Data!$HT$2, IF(H15=Data!$BH$5,Data!$HS$2)))</f>
        <v>0</v>
      </c>
      <c r="CZ15" s="351" t="b">
        <f>IF(H15=Data!$BF$3,Data!$HQ$16, IF(H15=Data!$BF$4,Data!$HP$16, IF(H15=Data!$BF$5,Data!$HR$16, IF(H15=Data!$BF$6,Data!$HO$16))))</f>
        <v>0</v>
      </c>
      <c r="DA15" s="351" t="b">
        <f>IF(G15=Data!$BC$3,'Shutters Page 1'!CW15,IF(G15=Data!$BC$4,'Shutters Page 1'!CX15,IF(G15=Data!$BC$6,'Shutters Page 1'!CY15, IF(G15=Data!$BC$5, 'Shutters Page 1'!CX15,IF(G15=Data!$BC$7,'Shutters Page 1'!CX15)))))</f>
        <v>0</v>
      </c>
      <c r="DB15" s="162" t="e">
        <f>IF(OR(AND(L15&gt;0,#REF!="")), "Error","OK")</f>
        <v>#REF!</v>
      </c>
      <c r="DC15" s="174" t="e">
        <f>IF(COUNTIF(#REF!,Data!$CX$6),"Yes","")</f>
        <v>#REF!</v>
      </c>
      <c r="DD15" s="55" t="str">
        <f t="shared" si="33"/>
        <v/>
      </c>
      <c r="DG15" s="55" t="str">
        <f>IF(N15=Data!$BI$5,"Yes",IF(N15=Data!$BI$6,"Yes","No"))</f>
        <v>No</v>
      </c>
      <c r="DH15" s="66" t="b">
        <f>IF(N15=Data!$BI$3,Data!$JB$2,IF(N15=Data!$BI$4,Data!$JC$2,IF(N15=Data!$BI$5,Data!$JD$2,IF(N15=Data!$BI$6,DI15,IF(N15=Data!$BI$7,Data!$JF$2, IF(N15=Data!$BI$8,Data!$JA$2, IF(N15=Data!$BI$9,Data!$JG$2)))))))</f>
        <v>0</v>
      </c>
      <c r="DI15" s="55" t="e">
        <f>VLOOKUP(P15,Data!$AAY$2:$ABA$44,3,FALSE)</f>
        <v>#N/A</v>
      </c>
      <c r="DK15" s="66" t="e">
        <f>VLOOKUP(P15,Data!$DO$4:$DQ$157,3,FALSE)</f>
        <v>#N/A</v>
      </c>
      <c r="DL15" s="55" t="e">
        <f t="shared" si="34"/>
        <v>#N/A</v>
      </c>
      <c r="DM15" s="55" t="e">
        <f t="shared" si="57"/>
        <v>#N/A</v>
      </c>
      <c r="DN15" s="162" t="b">
        <f>IF(Q15=Data!$BK$3,Data!$JH$2,IF(Q15=Data!$BK$4,Data!$JI$2,IF(Q15=Data!$BK$5,Data!$JJ$2,IF(Q15=Data!$BK$6,Data!$JK$2,IF(Q15=Data!$BK$7,Data!$JL$2,IF(Q15=Data!$BK$8,Data!$JM$2,IF(Q15=Data!$BK$9,Data!$JN$2,IF(Q15=Data!$BK$10,Data!$JO$2,IF(Q15=Data!$BK$11,Data!$JP$2,IF(Q15=Data!$BK$12,Data!$JQ$2,IF(Q15=Data!$BK$13,Data!$JR$2,IF(Q15=Data!$BK$14,Data!$JS$2,IF(Q15=Data!$BK$15,Data!$JT$2,IF(Q15=Data!$BK$16,Data!$JU$2,IF(Q15=Data!$BK$17,Data!$JV$2,IF(Q15=Data!$BK$18,Data!$JW$2, IF(Q15=Data!$BK$19,Data!$JX$2, IF(Q15=Data!$BK$20,Data!$JY$2, IF(Q15=Data!$BK$21,Data!$JN$2, IF(Q15=Data!$BK$22,Data!$JN$2, IF(Q15=Data!$BK$23,Data!$JN$2, IF(Q15=Data!$BK$24,Data!$JL$19))))))))))))))))))))))</f>
        <v>0</v>
      </c>
      <c r="DO15" s="55" t="str">
        <f>Data!$JH$19</f>
        <v>LRFrameAir</v>
      </c>
      <c r="DP15" s="55" t="b">
        <f>IF(G15=Data!$JH$18,'Shutters Page 1'!DO15,'Shutters Page 1'!DN15)</f>
        <v>0</v>
      </c>
      <c r="DR15" s="174" t="str">
        <f t="shared" si="58"/>
        <v/>
      </c>
      <c r="DS15" s="174" t="e">
        <f t="shared" si="59"/>
        <v>#N/A</v>
      </c>
      <c r="DT15" s="174" t="str">
        <f t="shared" si="35"/>
        <v>OK</v>
      </c>
      <c r="DU15" s="174" t="str">
        <f t="shared" si="36"/>
        <v>OK</v>
      </c>
      <c r="DV15" s="174" t="str">
        <f t="shared" si="37"/>
        <v>OK</v>
      </c>
      <c r="DW15" s="174" t="str">
        <f t="shared" si="38"/>
        <v>OK</v>
      </c>
      <c r="DX15" s="66" t="b">
        <f>IF(N15=Data!$LW$2,Data!$LX$1,IF(N15=Data!$LW$3,Data!$LY$1,IF(N15=Data!$LW$4,Data!$LZ$1,IF(N15=Data!$LW$5,Data!$MA$1,IF(N15=Data!$LW$6,Data!$MB$1,IF(N15=Data!$LW$7,Data!$MC$1, IF(N15=Data!$LW$8,Data!$MX$1)))))))</f>
        <v>0</v>
      </c>
      <c r="DY15" s="66" t="b">
        <f>IF(N15=Data!$LW$2,Data!$LX$147,IF(N15=Data!$LW$7,Data!$MC$1))</f>
        <v>0</v>
      </c>
      <c r="DZ15" s="66" t="b">
        <f>IF(G15=Data!$BC$3,'Shutters Page 1'!DX15,IF(G15=Data!$BC$5,'Shutters Page 1'!DY15))</f>
        <v>0</v>
      </c>
      <c r="EA15" s="66" t="b">
        <f>IF(E15=Data!$MD$2,Data!$ME$2, IF(E15=Data!$MD$3,Data!$MF$2, IF(E15=Data!$MD$4,Data!$MG$2)))</f>
        <v>0</v>
      </c>
      <c r="EB15" s="162" t="str">
        <f>IF(E15="MS",Data!$AK$1,IF(G15=Data!$BC$5,Data!$EJ$40,IF(G15=Data!$BC$4,Data!$EJ$20,Data!$EJ$2)))</f>
        <v>Special_Window_Timber</v>
      </c>
      <c r="EC15" s="66" t="str">
        <f>IF(OR(AND(T15="",Q15&lt;&gt;"")),VLOOKUP(Q15,Data!$FC$2:$FD$18,2,FALSE),"")</f>
        <v/>
      </c>
      <c r="ED15" s="66" t="str">
        <f>IF(OR(AND(U15="",Q15&lt;&gt;"")),VLOOKUP(Q15,Data!$FC$2:$FD$18,2,FALSE),"")</f>
        <v/>
      </c>
      <c r="EE15" s="66" t="str">
        <f>IF(OR(AND(V15="",Q15&lt;&gt;"")),VLOOKUP(Q15,Data!$FC$2:$FD$18,2,FALSE),"")</f>
        <v/>
      </c>
      <c r="EF15" s="162" t="e">
        <f>VLOOKUP(N15,Data!$MK$2:$ML$8,2,FALSE)</f>
        <v>#N/A</v>
      </c>
      <c r="EG15" s="66" t="e">
        <f>VLOOKUP(P15,Data!$DO$4:$DO$158,1,FALSE)</f>
        <v>#N/A</v>
      </c>
      <c r="EH15" s="66" t="e">
        <f t="shared" si="39"/>
        <v>#N/A</v>
      </c>
      <c r="EI15" s="55" t="str">
        <f t="shared" si="40"/>
        <v/>
      </c>
      <c r="EJ15" s="162" t="str">
        <f t="shared" si="41"/>
        <v>OK</v>
      </c>
      <c r="EK15" s="405" t="str">
        <f>Data!$JI$19</f>
        <v>TopBottomFrameAir</v>
      </c>
      <c r="EL15" s="405" t="b">
        <f>IF(G15=Data!$JH$18,EK15,EM15)</f>
        <v>0</v>
      </c>
      <c r="EM15" s="174" t="b">
        <f>IF(Q15=Data!$NN$3,Data!$NO$2, IF(Q15=Data!$NN$4,Data!$NP$2, IF(Q15=Data!$NN$5,Data!$NQ$2, IF(Q15=Data!$NN$6,Data!$NR$2, IF(Q15=Data!$NN$7,Data!$NS$2, IF(Q15=Data!$NN$8,Data!$NT$2, IF(Q15=Data!$NN$9,Data!$NU$2, IF(Q15=Data!$NN$10,Data!$NV$2, IF(Q15=Data!$NN$11,Data!$NW$2, IF(Q15=Data!$NN$12,Data!$NX$2, IF(Q15=Data!$NN$13,Data!$NY$2, IF(Q15=Data!$NN$14,Data!$NZ$2, IF(Q15=Data!$NN$15,Data!$OA$2, IF(Q15=Data!$NN$16,Data!$OB$2, IF(Q15=Data!$NN$17,Data!$OC$2, IF(Q15=Data!$NN$18,Data!$OD$2, IF(Q15=Data!$NN$19,Data!$OE$2, IF(Q15=Data!$NN$20,Data!$OG$2, IF(Q15=Data!$NN$25,Data!$NT$2, IF(Q15=Data!$NN$26,Data!$NT$2, IF(Q15=Data!$NN$27,Data!$NT$2, IF(Q15=Data!$NN$28,Data!$OH$2))))))))))))))))))))))</f>
        <v>0</v>
      </c>
      <c r="EN15" s="174" t="b">
        <f>IF(O15=$EN$7,Data!$OD$15,'Shutters Page 1'!EO15)</f>
        <v>0</v>
      </c>
      <c r="EO15" s="174" t="b">
        <f>IF(Q15=Data!$NN$3,Data!$NO$15,IF(Q15=Data!$NN$4,Data!$NP$15,IF(Q15=Data!$NN$5,Data!$NQ$15,IF(Q15=Data!$NN$6,Data!$NR$15,IF(Q15=Data!$NN$7,Data!$NS$15,IF(Q15=Data!$NN$8,Data!$NT$15,IF(Q15=Data!$NN$9,Data!$NU$15,IF(Q15=Data!$NN$10,Data!$NV$15,IF(Q15=Data!$NN$11,Data!$NW$15,IF(Q15=Data!$NN$12,Data!$NX$15,IF(Q15=Data!$NN$13,Data!$NY$15,IF(Q15=Data!$NN$14,Data!$NZ$15,IF(N15=Data!$NN$22,Data!$OA$15,IF(N15=Data!$NN$23,Data!$OB$15,IF(Q15=Data!$NN$19,Data!$OC$15, IF(Q15=Data!$NN$20,Data!$OG$15,IF(Q15=Data!$NN$25,Data!$NT$15,IF(Q15=Data!$NN$26,Data!$NT$15,IF(Q15=Data!$NN$27,Data!$NT$15,IF(Q15=Data!$NN$28,Data!$OH$15))))))))))))))))))))</f>
        <v>0</v>
      </c>
      <c r="EP15" s="406" t="str">
        <f>Data!$JI$19</f>
        <v>TopBottomFrameAir</v>
      </c>
      <c r="EQ15" s="406" t="b">
        <f>IF(G15=Data!$JH$18,EP15,EN15)</f>
        <v>0</v>
      </c>
      <c r="ER15" s="351" t="e">
        <f>MATCH(G15,Data!$CW$10:$CW$14,0)</f>
        <v>#N/A</v>
      </c>
      <c r="ES15" s="174" t="e">
        <f>MATCH(J15,Data!$CX$9:$DA$9,0)</f>
        <v>#N/A</v>
      </c>
      <c r="ET15" s="355" t="e">
        <f>INDEX(Data!$CX$10:$DA$14,'Shutters Page 1'!ER15,'Shutters Page 1'!ES15)</f>
        <v>#N/A</v>
      </c>
      <c r="EU15" s="355" t="e">
        <f>VLOOKUP(H15,Data!$BD$81:$BE$115,2,FALSE)</f>
        <v>#N/A</v>
      </c>
      <c r="EV15" s="355" t="e">
        <f>IF(EU15=Data!$BB$80,Data!$CW$20,'Shutters Page 1'!ET15)</f>
        <v>#N/A</v>
      </c>
      <c r="EW15" s="174" t="str">
        <f>IF(SUM(--ISNUMBER(SEARCH({"combo","Combo","COMBO"}, B32))),"Yes","No")</f>
        <v>No</v>
      </c>
      <c r="EX15" s="174" t="str">
        <f>IF(SUM(--ISNUMBER(SEARCH({"combo","Combo","COMBO"}, F32))),"Yes","No")</f>
        <v>No</v>
      </c>
      <c r="EY15" s="174" t="str">
        <f t="shared" si="60"/>
        <v>No</v>
      </c>
      <c r="EZ15" s="162">
        <f t="shared" si="42"/>
        <v>1</v>
      </c>
      <c r="FA15" s="162" t="e">
        <f t="shared" si="43"/>
        <v>#DIV/0!</v>
      </c>
      <c r="FB15" s="174" t="str">
        <f t="shared" si="44"/>
        <v/>
      </c>
      <c r="FC15" s="351" t="str">
        <f t="shared" si="45"/>
        <v/>
      </c>
      <c r="FD15" s="351" t="str">
        <f t="shared" si="46"/>
        <v/>
      </c>
      <c r="FE15" s="174" t="str">
        <f t="shared" si="47"/>
        <v/>
      </c>
      <c r="FF15" s="174" t="str">
        <f t="shared" si="48"/>
        <v/>
      </c>
      <c r="FG15" s="174" t="str">
        <f t="shared" si="49"/>
        <v/>
      </c>
      <c r="FH15" s="278" t="str">
        <f t="shared" si="61"/>
        <v>No</v>
      </c>
      <c r="FI15" s="351" t="e">
        <f>MATCH(G15,Data!$FH$18:$FL$18,0)</f>
        <v>#N/A</v>
      </c>
      <c r="FJ15" s="174" t="e">
        <f>MATCH(N15,Data!$FG$19:$FG$25,0)</f>
        <v>#N/A</v>
      </c>
      <c r="FK15" s="351" t="e">
        <f>INDEX(Data!$FH$19:$FL$25,'Shutters Page 1'!FJ15,'Shutters Page 1'!FI15)</f>
        <v>#N/A</v>
      </c>
      <c r="FL15" s="411" t="e">
        <f>MATCH(G15,Data!$FH$53:$FI$53,0)</f>
        <v>#N/A</v>
      </c>
      <c r="FM15" s="411" t="e">
        <f>MATCH(N15,Data!$FG$54:$FG$60,0)</f>
        <v>#N/A</v>
      </c>
      <c r="FN15" s="411" t="e">
        <f>INDEX(Data!$FH$54:$FI$60,'Shutters Page 1'!FM15,'Shutters Page 1'!FL15)</f>
        <v>#N/A</v>
      </c>
      <c r="FO15" s="411" t="e">
        <f>IF(E15=Data!$FH$35,'Shutters Page 1'!FN15,'Shutters Page 1'!FK15)</f>
        <v>#N/A</v>
      </c>
      <c r="FP15" s="351" t="e">
        <f>MATCH(G15,Data!$ME$26:$MG$26,0)</f>
        <v>#N/A</v>
      </c>
      <c r="FQ15" s="174" t="e">
        <f>MATCH(E15,Data!$MD$27:$MD$29,0)</f>
        <v>#N/A</v>
      </c>
      <c r="FR15" s="351" t="e">
        <f>INDEX(Data!$ME$27:$MG$29, 'Shutters Page 1'!FQ15, 'Shutters Page 1'!FP15)</f>
        <v>#N/A</v>
      </c>
      <c r="FS15" s="351" t="e">
        <f>MATCH(G15,Data!$AAF$1:$AAH$1,0)</f>
        <v>#N/A</v>
      </c>
      <c r="FT15" s="174" t="e">
        <f>MATCH(N15,Data!$AAE$2:$AAE$8,0)</f>
        <v>#N/A</v>
      </c>
      <c r="FU15" s="351" t="e">
        <f>INDEX(Data!$AAF$2:$AAH$8, 'Shutters Page 1'!FT15, 'Shutters Page 1'!FS15)</f>
        <v>#N/A</v>
      </c>
      <c r="FV15" s="351" t="e">
        <f>MATCH(G15,Data!$AAF$12:$AAH$12,0)</f>
        <v>#N/A</v>
      </c>
      <c r="FW15" s="174" t="e">
        <f>MATCH(N15,Data!$AAE$13:$AAE$19,0)</f>
        <v>#N/A</v>
      </c>
      <c r="FX15" s="351" t="e">
        <f>INDEX(Data!$AAF$13:$AAH$19, 'Shutters Page 1'!FW15, 'Shutters Page 1'!FV15)</f>
        <v>#N/A</v>
      </c>
      <c r="FY15" s="351" t="e">
        <f>MATCH(G15,Data!$AAK$1:$AAM$1,0)</f>
        <v>#N/A</v>
      </c>
      <c r="FZ15" s="174" t="e">
        <f>MATCH(Q15,Data!$AAJ$2,0)</f>
        <v>#N/A</v>
      </c>
      <c r="GA15" s="351" t="e">
        <f>INDEX(Data!$AAK$2:$AAM$2, 'Shutters Page 1'!FZ15, 'Shutters Page 1'!FY15)</f>
        <v>#N/A</v>
      </c>
      <c r="GB15" s="351" t="e">
        <f>MATCH(G15,Data!$AAK$12:$AAM$12,0)</f>
        <v>#N/A</v>
      </c>
      <c r="GC15" s="174" t="e">
        <f>MATCH(Q15,Data!$AAJ$13,0)</f>
        <v>#N/A</v>
      </c>
      <c r="GD15" s="351" t="e">
        <f>INDEX(Data!$AAK$13:$AAM$13, 'Shutters Page 1'!GC15, 'Shutters Page 1'!GB15)</f>
        <v>#N/A</v>
      </c>
      <c r="GE15" s="162" t="e">
        <f>VLOOKUP(H15,Data!$AAR$1:$AAS$35,2,FALSE)</f>
        <v>#N/A</v>
      </c>
      <c r="GF15" s="162" t="e">
        <f t="shared" si="50"/>
        <v>#N/A</v>
      </c>
      <c r="GG15" s="162" t="e">
        <f t="shared" si="51"/>
        <v>#N/A</v>
      </c>
      <c r="GH15" s="162" t="e">
        <f t="shared" si="52"/>
        <v>#N/A</v>
      </c>
      <c r="GI15" s="162" t="str">
        <f>IF(G15=Data!$NC$1,Data!$ND$1,Data!$NE$1)</f>
        <v>FauxwoodStile</v>
      </c>
      <c r="GL15" s="55" t="e">
        <f>VLOOKUP('Shutters Page 1'!H15,Data!$BD$81:$BE$115,2,FALSE)</f>
        <v>#N/A</v>
      </c>
      <c r="GM15" s="55" t="e">
        <f>IF(GL15=Data!$BB$80,"Yes", "No")</f>
        <v>#N/A</v>
      </c>
      <c r="GN15" s="55" t="e">
        <f>IF(GM15="Yes",Data!$EJ$57,'Shutters Page 1'!EB15)</f>
        <v>#N/A</v>
      </c>
      <c r="GQ15" s="55" t="b">
        <f>IF(G15=$GQ$6,Data!$EN$47,IF(G15='Shutters Page 1'!$GQ$7,Data!$EM$47))</f>
        <v>0</v>
      </c>
    </row>
    <row r="16" spans="1:199" ht="36.75" customHeight="1">
      <c r="A16" s="53">
        <v>8</v>
      </c>
      <c r="B16" s="17"/>
      <c r="C16" s="14"/>
      <c r="D16" s="14"/>
      <c r="E16" s="14"/>
      <c r="F16" s="10"/>
      <c r="G16" s="13"/>
      <c r="H16" s="555"/>
      <c r="I16" s="603"/>
      <c r="J16" s="14"/>
      <c r="K16" s="149" t="str">
        <f t="shared" si="0"/>
        <v/>
      </c>
      <c r="L16" s="15"/>
      <c r="M16" s="15"/>
      <c r="N16" s="15"/>
      <c r="O16" s="15"/>
      <c r="P16" s="15"/>
      <c r="Q16" s="486"/>
      <c r="R16" s="486"/>
      <c r="S16" s="13"/>
      <c r="T16" s="13"/>
      <c r="U16" s="13"/>
      <c r="V16" s="13"/>
      <c r="W16" s="15"/>
      <c r="X16" s="15"/>
      <c r="Y16" s="16"/>
      <c r="Z16" s="16"/>
      <c r="AA16" s="14"/>
      <c r="AB16" s="14"/>
      <c r="AC16" s="14"/>
      <c r="AD16" s="386"/>
      <c r="AE16" s="169" t="str">
        <f t="shared" si="1"/>
        <v/>
      </c>
      <c r="AF16" s="236"/>
      <c r="AG16" s="237"/>
      <c r="AI16" s="55">
        <f t="shared" si="2"/>
        <v>0</v>
      </c>
      <c r="AJ16" s="55">
        <f t="shared" si="3"/>
        <v>0</v>
      </c>
      <c r="AK16" s="55">
        <f>IF(P16&lt;&gt;"",VLOOKUP(P16,Data!$AAY$2:$AAZ$44,2,FALSE),0)</f>
        <v>0</v>
      </c>
      <c r="AL16" s="55" t="str">
        <f>IF(E16=Data!$BB$10,Data!$BC$10,Data!$BC$2)</f>
        <v>ShutterMaterial</v>
      </c>
      <c r="AP16" s="55" t="str">
        <f t="shared" si="53"/>
        <v>SlidingSystemNA</v>
      </c>
      <c r="AV16" s="114" t="str">
        <f t="shared" si="4"/>
        <v/>
      </c>
      <c r="AW16" s="66" t="e">
        <f t="shared" si="5"/>
        <v>#N/A</v>
      </c>
      <c r="AX16" s="174" t="e">
        <f>VLOOKUP(Q16,Data!$MI$2:$MJ$4,2,FALSE)</f>
        <v>#N/A</v>
      </c>
      <c r="AY16" s="174" t="e">
        <f t="shared" si="6"/>
        <v>#N/A</v>
      </c>
      <c r="AZ16" s="174" t="e">
        <f>VLOOKUP(N16,Data!$BI$24:$BJ$30,2,FALSE)</f>
        <v>#N/A</v>
      </c>
      <c r="BA16" s="160" t="b">
        <f>IF(G16=Data!$BO$2,Data!$BS$2, IF('Shutters Page 1'!G16=Data!$BP$2,Data!$BT$2, IF('Shutters Page 1'!G16=Data!$BQ$2,Data!$BU$2)))</f>
        <v>0</v>
      </c>
      <c r="BB16" s="361" t="str">
        <f t="shared" si="7"/>
        <v>No</v>
      </c>
      <c r="BC16" s="160" t="e">
        <f t="shared" si="8"/>
        <v>#DIV/0!</v>
      </c>
      <c r="BD16" s="361" t="e">
        <f t="shared" si="9"/>
        <v>#DIV/0!</v>
      </c>
      <c r="BE16" s="160" t="e">
        <f t="shared" si="10"/>
        <v>#DIV/0!</v>
      </c>
      <c r="BF16" s="361" t="str">
        <f t="shared" si="11"/>
        <v>No</v>
      </c>
      <c r="BG16" s="160" t="str">
        <f t="shared" si="12"/>
        <v>NotRequired</v>
      </c>
      <c r="BH16" s="160" t="b">
        <f>IF(G16=Data!$BO$2,Data!$CM$2, IF('Shutters Page 1'!G16=Data!$BP$2,Data!$CN$2, IF('Shutters Page 1'!G16=Data!$BQ$2,Data!$CO$2)))</f>
        <v>0</v>
      </c>
      <c r="BI16" s="160" t="e">
        <f t="shared" si="54"/>
        <v>#DIV/0!</v>
      </c>
      <c r="BJ16" s="161" t="str">
        <f t="shared" si="13"/>
        <v>NoHighlight</v>
      </c>
      <c r="BK16" s="361" t="str">
        <f t="shared" si="14"/>
        <v>FauxwoodRPNo</v>
      </c>
      <c r="BL16" s="161" t="str">
        <f>IF(SUM(--ISNUMBER( SEARCH({"t","T"},P16))),"Yes","No")</f>
        <v>No</v>
      </c>
      <c r="BM16" s="161" t="str">
        <f t="shared" si="15"/>
        <v>OK</v>
      </c>
      <c r="BN16" s="161" t="str">
        <f t="shared" si="16"/>
        <v>OK</v>
      </c>
      <c r="BO16" s="161" t="str">
        <f t="shared" si="17"/>
        <v>OK</v>
      </c>
      <c r="BP16" s="161" t="e">
        <f>IF(OR(AND(F16&gt;1,#REF!="L",#REF!="l"),AND(F16&gt;1,#REF!="R",#REF!="r"),AND(F16&gt;2,#REF!="LR",#REF!="lr")), "Error","OK")</f>
        <v>#REF!</v>
      </c>
      <c r="BQ16" s="161" t="str">
        <f t="shared" si="18"/>
        <v>FauxwoodAINo</v>
      </c>
      <c r="BR16" s="161" t="str">
        <f>IF(SUM(--ISNUMBER(SEARCH({"combo","Combo","COMBO"}, B33))),"Yes","No")</f>
        <v>No</v>
      </c>
      <c r="BS16" s="161" t="str">
        <f t="shared" si="55"/>
        <v>No</v>
      </c>
      <c r="BT16" s="161" t="str">
        <f>IF(SUM(--ISNUMBER( SEARCH({"c","C","b","B"},#REF!))),"Yes","No")</f>
        <v>No</v>
      </c>
      <c r="BU16" s="162">
        <f t="shared" si="19"/>
        <v>0</v>
      </c>
      <c r="BV16" s="174" t="str">
        <f>IF(N16=Data!$BI$3,Data!$DR$3,IF(N16=Data!$BI$4,Data!$DS$3,IF(N16=Data!$BI$5,Data!$DT$3,IF(N16=Data!$BI$6,Data!$DU$3,IF(N16=Data!$BI$7,Data!$DV$3, IF(N16=Data!$BI$8,Data!$DX$3, IF(N16=Data!$BI$9,Data!$DW$3, "")))))))</f>
        <v/>
      </c>
      <c r="BW16" s="174" t="str">
        <f>IF(N16=Data!$BI$3,Data!$DY$3,IF(N16=Data!$BI$4,Data!$DZ$3,IF(N16=Data!$BI$5,Data!$EA$3,IF(N16=Data!$BI$6,Data!$EB$3,IF(N16=Data!$BI$7,Data!$EC$3,IF(N16=Data!$BI$8,Data!$EE$3, IF(N16=Data!$BI$9,Data!$ED$3,"")))))))</f>
        <v/>
      </c>
      <c r="BX16" s="162">
        <f t="shared" si="20"/>
        <v>0</v>
      </c>
      <c r="BY16" s="162">
        <f t="shared" si="21"/>
        <v>0</v>
      </c>
      <c r="BZ16" s="174" t="e">
        <f t="shared" si="22"/>
        <v>#DIV/0!</v>
      </c>
      <c r="CA16" s="351" t="b">
        <f>IF(G16=Data!$EU$2,Data!$ES$2,IF(G16=Data!$EU$3,Data!$ER$2, IF(G16=Data!$EU$5,Data!$ET$2, IF(G16=Data!$EU$4,Data!$EQ$2,IF(G16=Data!$EU$6,Data!$ER$2)))))</f>
        <v>0</v>
      </c>
      <c r="CB16" s="351" t="b">
        <f>IF(G16=Data!$EU$2,Data!$EW$2,IF(G16=Data!$EU$3,Data!$EX$2,IF(G16=Data!$EU$4,Data!$EY$2, IF(G16=Data!$EU$5,Data!$EY$2,IF(G16=Data!$EU$6,Data!$EX$2)))))</f>
        <v>0</v>
      </c>
      <c r="CC16" s="174" t="e">
        <f>VLOOKUP(M16,Data!$EJ$3:$EK$15,2,FALSE)</f>
        <v>#N/A</v>
      </c>
      <c r="CD16" s="174" t="str">
        <f>IF(J16="114mm",VLOOKUP(H16,Data!$FA$2:$FB$18,2,FALSE),"OK")</f>
        <v>OK</v>
      </c>
      <c r="CE16" s="174" t="e">
        <f t="shared" si="23"/>
        <v>#DIV/0!</v>
      </c>
      <c r="CF16" s="174" t="str">
        <f>IF(OR(AND(S16="",Q16&lt;&gt;"")),VLOOKUP(Q16,Data!$FC$2:$FD$19,2,FALSE),"")</f>
        <v/>
      </c>
      <c r="CG16" s="174" t="str">
        <f>IF(N16=Data!$BI$3,Data!$FJ$1,IF(N16=Data!$BI$4,Data!$FK$1,IF(N16=Data!$BI$5,Data!$FL$1,IF(N16=Data!$BI$6,Data!$FM$1,IF(N16=Data!$BI$7,Data!$FN$1, IF(N16=Data!$BI$8,Data!$FO$1, IF(N16=Data!$BI$9,Data!$FI$1, "")))))))</f>
        <v/>
      </c>
      <c r="CH16" s="174" t="str">
        <f>IF(SUM(--ISNUMBER(SEARCH({"z","Z"}, Q16))),"Yes","No")</f>
        <v>No</v>
      </c>
      <c r="CI16" s="174" t="str">
        <f t="shared" si="24"/>
        <v>OK</v>
      </c>
      <c r="CJ16" s="174">
        <f t="shared" si="25"/>
        <v>0</v>
      </c>
      <c r="CK16" s="174" t="e">
        <f>VLOOKUP(P16,Data!$DO$4:$DP$157,2,FALSE)</f>
        <v>#N/A</v>
      </c>
      <c r="CL16" s="174" t="e">
        <f t="shared" si="26"/>
        <v>#N/A</v>
      </c>
      <c r="CM16" s="162"/>
      <c r="CN16" s="162"/>
      <c r="CO16" s="162"/>
      <c r="CP16" s="366" t="str">
        <f t="shared" si="27"/>
        <v>OK</v>
      </c>
      <c r="CQ16" s="174" t="b">
        <f t="shared" si="28"/>
        <v>0</v>
      </c>
      <c r="CR16" s="174">
        <f t="shared" si="29"/>
        <v>0</v>
      </c>
      <c r="CS16" s="174">
        <f t="shared" si="30"/>
        <v>1</v>
      </c>
      <c r="CT16" s="174">
        <f t="shared" si="56"/>
        <v>0</v>
      </c>
      <c r="CU16" s="162" t="e">
        <f t="shared" si="31"/>
        <v>#DIV/0!</v>
      </c>
      <c r="CV16" s="162" t="e">
        <f>VLOOKUP(H16,Data!$BD$81:$BE$111,2,FALSE)</f>
        <v>#N/A</v>
      </c>
      <c r="CW16" s="174" t="str">
        <f t="shared" si="32"/>
        <v/>
      </c>
      <c r="CX16" s="292" t="str">
        <f>IF(H16=Data!$BE$3,Data!$HQ$2, IF(H16=Data!$BE$4,Data!$HP$2, IF(H16=Data!$BE$5,Data!$HR$2, IF(H16=Data!$BE$6,Data!$HO$2))))</f>
        <v>Super WhiteNA</v>
      </c>
      <c r="CY16" s="351" t="b">
        <f>IF(H16=Data!$BH$3,Data!$HU$2, IF(H16=Data!$BH$4,Data!$HT$2, IF(H16=Data!$BH$5,Data!$HS$2)))</f>
        <v>0</v>
      </c>
      <c r="CZ16" s="351" t="b">
        <f>IF(H16=Data!$BF$3,Data!$HQ$16, IF(H16=Data!$BF$4,Data!$HP$16, IF(H16=Data!$BF$5,Data!$HR$16, IF(H16=Data!$BF$6,Data!$HO$16))))</f>
        <v>0</v>
      </c>
      <c r="DA16" s="351" t="b">
        <f>IF(G16=Data!$BC$3,'Shutters Page 1'!CW16,IF(G16=Data!$BC$4,'Shutters Page 1'!CX16,IF(G16=Data!$BC$6,'Shutters Page 1'!CY16, IF(G16=Data!$BC$5, 'Shutters Page 1'!CX16,IF(G16=Data!$BC$7,'Shutters Page 1'!CX16)))))</f>
        <v>0</v>
      </c>
      <c r="DB16" s="162" t="e">
        <f>IF(OR(AND(L16&gt;0,#REF!="")), "Error","OK")</f>
        <v>#REF!</v>
      </c>
      <c r="DC16" s="174" t="e">
        <f>IF(COUNTIF(#REF!,Data!$CX$6),"Yes","")</f>
        <v>#REF!</v>
      </c>
      <c r="DD16" s="55" t="str">
        <f t="shared" si="33"/>
        <v/>
      </c>
      <c r="DG16" s="55" t="str">
        <f>IF(N16=Data!$BI$5,"Yes",IF(N16=Data!$BI$6,"Yes","No"))</f>
        <v>No</v>
      </c>
      <c r="DH16" s="66" t="b">
        <f>IF(N16=Data!$BI$3,Data!$JB$2,IF(N16=Data!$BI$4,Data!$JC$2,IF(N16=Data!$BI$5,Data!$JD$2,IF(N16=Data!$BI$6,DI16,IF(N16=Data!$BI$7,Data!$JF$2, IF(N16=Data!$BI$8,Data!$JA$2, IF(N16=Data!$BI$9,Data!$JG$2)))))))</f>
        <v>0</v>
      </c>
      <c r="DI16" s="55" t="e">
        <f>VLOOKUP(P16,Data!$AAY$2:$ABA$44,3,FALSE)</f>
        <v>#N/A</v>
      </c>
      <c r="DK16" s="66" t="e">
        <f>VLOOKUP(P16,Data!$DO$4:$DQ$157,3,FALSE)</f>
        <v>#N/A</v>
      </c>
      <c r="DL16" s="55" t="e">
        <f t="shared" si="34"/>
        <v>#N/A</v>
      </c>
      <c r="DM16" s="55" t="e">
        <f t="shared" si="57"/>
        <v>#N/A</v>
      </c>
      <c r="DN16" s="162" t="b">
        <f>IF(Q16=Data!$BK$3,Data!$JH$2,IF(Q16=Data!$BK$4,Data!$JI$2,IF(Q16=Data!$BK$5,Data!$JJ$2,IF(Q16=Data!$BK$6,Data!$JK$2,IF(Q16=Data!$BK$7,Data!$JL$2,IF(Q16=Data!$BK$8,Data!$JM$2,IF(Q16=Data!$BK$9,Data!$JN$2,IF(Q16=Data!$BK$10,Data!$JO$2,IF(Q16=Data!$BK$11,Data!$JP$2,IF(Q16=Data!$BK$12,Data!$JQ$2,IF(Q16=Data!$BK$13,Data!$JR$2,IF(Q16=Data!$BK$14,Data!$JS$2,IF(Q16=Data!$BK$15,Data!$JT$2,IF(Q16=Data!$BK$16,Data!$JU$2,IF(Q16=Data!$BK$17,Data!$JV$2,IF(Q16=Data!$BK$18,Data!$JW$2, IF(Q16=Data!$BK$19,Data!$JX$2, IF(Q16=Data!$BK$20,Data!$JY$2, IF(Q16=Data!$BK$21,Data!$JN$2, IF(Q16=Data!$BK$22,Data!$JN$2, IF(Q16=Data!$BK$23,Data!$JN$2, IF(Q16=Data!$BK$24,Data!$JL$19))))))))))))))))))))))</f>
        <v>0</v>
      </c>
      <c r="DO16" s="55" t="str">
        <f>Data!$JH$19</f>
        <v>LRFrameAir</v>
      </c>
      <c r="DP16" s="55" t="b">
        <f>IF(G16=Data!$JH$18,'Shutters Page 1'!DO16,'Shutters Page 1'!DN16)</f>
        <v>0</v>
      </c>
      <c r="DR16" s="174" t="str">
        <f t="shared" si="58"/>
        <v/>
      </c>
      <c r="DS16" s="174" t="e">
        <f t="shared" si="59"/>
        <v>#N/A</v>
      </c>
      <c r="DT16" s="174" t="str">
        <f t="shared" si="35"/>
        <v>OK</v>
      </c>
      <c r="DU16" s="174" t="str">
        <f t="shared" si="36"/>
        <v>OK</v>
      </c>
      <c r="DV16" s="174" t="str">
        <f t="shared" si="37"/>
        <v>OK</v>
      </c>
      <c r="DW16" s="174" t="str">
        <f t="shared" si="38"/>
        <v>OK</v>
      </c>
      <c r="DX16" s="66" t="b">
        <f>IF(N16=Data!$LW$2,Data!$LX$1,IF(N16=Data!$LW$3,Data!$LY$1,IF(N16=Data!$LW$4,Data!$LZ$1,IF(N16=Data!$LW$5,Data!$MA$1,IF(N16=Data!$LW$6,Data!$MB$1,IF(N16=Data!$LW$7,Data!$MC$1, IF(N16=Data!$LW$8,Data!$MX$1)))))))</f>
        <v>0</v>
      </c>
      <c r="DY16" s="66" t="b">
        <f>IF(N16=Data!$LW$2,Data!$LX$147,IF(N16=Data!$LW$7,Data!$MC$1))</f>
        <v>0</v>
      </c>
      <c r="DZ16" s="66" t="b">
        <f>IF(G16=Data!$BC$3,'Shutters Page 1'!DX16,IF(G16=Data!$BC$5,'Shutters Page 1'!DY16))</f>
        <v>0</v>
      </c>
      <c r="EA16" s="66" t="b">
        <f>IF(E16=Data!$MD$2,Data!$ME$2, IF(E16=Data!$MD$3,Data!$MF$2, IF(E16=Data!$MD$4,Data!$MG$2)))</f>
        <v>0</v>
      </c>
      <c r="EB16" s="162" t="str">
        <f>IF(E16="MS",Data!$AK$1,IF(G16=Data!$BC$5,Data!$EJ$40,IF(G16=Data!$BC$4,Data!$EJ$20,Data!$EJ$2)))</f>
        <v>Special_Window_Timber</v>
      </c>
      <c r="EC16" s="66" t="str">
        <f>IF(OR(AND(T16="",Q16&lt;&gt;"")),VLOOKUP(Q16,Data!$FC$2:$FD$18,2,FALSE),"")</f>
        <v/>
      </c>
      <c r="ED16" s="66" t="str">
        <f>IF(OR(AND(U16="",Q16&lt;&gt;"")),VLOOKUP(Q16,Data!$FC$2:$FD$18,2,FALSE),"")</f>
        <v/>
      </c>
      <c r="EE16" s="66" t="str">
        <f>IF(OR(AND(V16="",Q16&lt;&gt;"")),VLOOKUP(Q16,Data!$FC$2:$FD$18,2,FALSE),"")</f>
        <v/>
      </c>
      <c r="EF16" s="162" t="e">
        <f>VLOOKUP(N16,Data!$MK$2:$ML$8,2,FALSE)</f>
        <v>#N/A</v>
      </c>
      <c r="EG16" s="66" t="e">
        <f>VLOOKUP(P16,Data!$DO$4:$DO$158,1,FALSE)</f>
        <v>#N/A</v>
      </c>
      <c r="EH16" s="66" t="e">
        <f t="shared" si="39"/>
        <v>#N/A</v>
      </c>
      <c r="EI16" s="55" t="str">
        <f t="shared" si="40"/>
        <v/>
      </c>
      <c r="EJ16" s="162" t="str">
        <f t="shared" si="41"/>
        <v>OK</v>
      </c>
      <c r="EK16" s="405" t="str">
        <f>Data!$JI$19</f>
        <v>TopBottomFrameAir</v>
      </c>
      <c r="EL16" s="405" t="b">
        <f>IF(G16=Data!$JH$18,EK16,EM16)</f>
        <v>0</v>
      </c>
      <c r="EM16" s="174" t="b">
        <f>IF(Q16=Data!$NN$3,Data!$NO$2, IF(Q16=Data!$NN$4,Data!$NP$2, IF(Q16=Data!$NN$5,Data!$NQ$2, IF(Q16=Data!$NN$6,Data!$NR$2, IF(Q16=Data!$NN$7,Data!$NS$2, IF(Q16=Data!$NN$8,Data!$NT$2, IF(Q16=Data!$NN$9,Data!$NU$2, IF(Q16=Data!$NN$10,Data!$NV$2, IF(Q16=Data!$NN$11,Data!$NW$2, IF(Q16=Data!$NN$12,Data!$NX$2, IF(Q16=Data!$NN$13,Data!$NY$2, IF(Q16=Data!$NN$14,Data!$NZ$2, IF(Q16=Data!$NN$15,Data!$OA$2, IF(Q16=Data!$NN$16,Data!$OB$2, IF(Q16=Data!$NN$17,Data!$OC$2, IF(Q16=Data!$NN$18,Data!$OD$2, IF(Q16=Data!$NN$19,Data!$OE$2, IF(Q16=Data!$NN$20,Data!$OG$2, IF(Q16=Data!$NN$25,Data!$NT$2, IF(Q16=Data!$NN$26,Data!$NT$2, IF(Q16=Data!$NN$27,Data!$NT$2, IF(Q16=Data!$NN$28,Data!$OH$2))))))))))))))))))))))</f>
        <v>0</v>
      </c>
      <c r="EN16" s="174" t="b">
        <f>IF(O16=$EN$7,Data!$OD$15,'Shutters Page 1'!EO16)</f>
        <v>0</v>
      </c>
      <c r="EO16" s="174" t="b">
        <f>IF(Q16=Data!$NN$3,Data!$NO$15,IF(Q16=Data!$NN$4,Data!$NP$15,IF(Q16=Data!$NN$5,Data!$NQ$15,IF(Q16=Data!$NN$6,Data!$NR$15,IF(Q16=Data!$NN$7,Data!$NS$15,IF(Q16=Data!$NN$8,Data!$NT$15,IF(Q16=Data!$NN$9,Data!$NU$15,IF(Q16=Data!$NN$10,Data!$NV$15,IF(Q16=Data!$NN$11,Data!$NW$15,IF(Q16=Data!$NN$12,Data!$NX$15,IF(Q16=Data!$NN$13,Data!$NY$15,IF(Q16=Data!$NN$14,Data!$NZ$15,IF(N16=Data!$NN$22,Data!$OA$15,IF(N16=Data!$NN$23,Data!$OB$15,IF(Q16=Data!$NN$19,Data!$OC$15, IF(Q16=Data!$NN$20,Data!$OG$15,IF(Q16=Data!$NN$25,Data!$NT$15,IF(Q16=Data!$NN$26,Data!$NT$15,IF(Q16=Data!$NN$27,Data!$NT$15,IF(Q16=Data!$NN$28,Data!$OH$15))))))))))))))))))))</f>
        <v>0</v>
      </c>
      <c r="EP16" s="406" t="str">
        <f>Data!$JI$19</f>
        <v>TopBottomFrameAir</v>
      </c>
      <c r="EQ16" s="406" t="b">
        <f>IF(G16=Data!$JH$18,EP16,EN16)</f>
        <v>0</v>
      </c>
      <c r="ER16" s="351" t="e">
        <f>MATCH(G16,Data!$CW$10:$CW$14,0)</f>
        <v>#N/A</v>
      </c>
      <c r="ES16" s="174" t="e">
        <f>MATCH(J16,Data!$CX$9:$DA$9,0)</f>
        <v>#N/A</v>
      </c>
      <c r="ET16" s="355" t="e">
        <f>INDEX(Data!$CX$10:$DA$14,'Shutters Page 1'!ER16,'Shutters Page 1'!ES16)</f>
        <v>#N/A</v>
      </c>
      <c r="EU16" s="355" t="e">
        <f>VLOOKUP(H16,Data!$BD$81:$BE$115,2,FALSE)</f>
        <v>#N/A</v>
      </c>
      <c r="EV16" s="355" t="e">
        <f>IF(EU16=Data!$BB$80,Data!$CW$20,'Shutters Page 1'!ET16)</f>
        <v>#N/A</v>
      </c>
      <c r="EW16" s="174" t="str">
        <f>IF(SUM(--ISNUMBER(SEARCH({"combo","Combo","COMBO"}, B33))),"Yes","No")</f>
        <v>No</v>
      </c>
      <c r="EX16" s="174" t="str">
        <f>IF(SUM(--ISNUMBER(SEARCH({"combo","Combo","COMBO"}, F33))),"Yes","No")</f>
        <v>No</v>
      </c>
      <c r="EY16" s="174" t="str">
        <f t="shared" si="60"/>
        <v>No</v>
      </c>
      <c r="EZ16" s="162">
        <f t="shared" si="42"/>
        <v>1</v>
      </c>
      <c r="FA16" s="162" t="e">
        <f t="shared" si="43"/>
        <v>#DIV/0!</v>
      </c>
      <c r="FB16" s="174" t="str">
        <f t="shared" si="44"/>
        <v/>
      </c>
      <c r="FC16" s="351" t="str">
        <f t="shared" si="45"/>
        <v/>
      </c>
      <c r="FD16" s="351" t="str">
        <f t="shared" si="46"/>
        <v/>
      </c>
      <c r="FE16" s="174" t="str">
        <f t="shared" si="47"/>
        <v/>
      </c>
      <c r="FF16" s="174" t="str">
        <f t="shared" si="48"/>
        <v/>
      </c>
      <c r="FG16" s="174" t="str">
        <f t="shared" si="49"/>
        <v/>
      </c>
      <c r="FH16" s="278" t="str">
        <f t="shared" si="61"/>
        <v>No</v>
      </c>
      <c r="FI16" s="351" t="e">
        <f>MATCH(G16,Data!$FH$18:$FL$18,0)</f>
        <v>#N/A</v>
      </c>
      <c r="FJ16" s="174" t="e">
        <f>MATCH(N16,Data!$FG$19:$FG$25,0)</f>
        <v>#N/A</v>
      </c>
      <c r="FK16" s="351" t="e">
        <f>INDEX(Data!$FH$19:$FL$25,'Shutters Page 1'!FJ16,'Shutters Page 1'!FI16)</f>
        <v>#N/A</v>
      </c>
      <c r="FL16" s="411" t="e">
        <f>MATCH(G16,Data!$FH$53:$FI$53,0)</f>
        <v>#N/A</v>
      </c>
      <c r="FM16" s="411" t="e">
        <f>MATCH(N16,Data!$FG$54:$FG$60,0)</f>
        <v>#N/A</v>
      </c>
      <c r="FN16" s="411" t="e">
        <f>INDEX(Data!$FH$54:$FI$60,'Shutters Page 1'!FM16,'Shutters Page 1'!FL16)</f>
        <v>#N/A</v>
      </c>
      <c r="FO16" s="411" t="e">
        <f>IF(E16=Data!$FH$35,'Shutters Page 1'!FN16,'Shutters Page 1'!FK16)</f>
        <v>#N/A</v>
      </c>
      <c r="FP16" s="351" t="e">
        <f>MATCH(G16,Data!$ME$26:$MG$26,0)</f>
        <v>#N/A</v>
      </c>
      <c r="FQ16" s="174" t="e">
        <f>MATCH(E16,Data!$MD$27:$MD$29,0)</f>
        <v>#N/A</v>
      </c>
      <c r="FR16" s="351" t="e">
        <f>INDEX(Data!$ME$27:$MG$29, 'Shutters Page 1'!FQ16, 'Shutters Page 1'!FP16)</f>
        <v>#N/A</v>
      </c>
      <c r="FS16" s="351" t="e">
        <f>MATCH(G16,Data!$AAF$1:$AAH$1,0)</f>
        <v>#N/A</v>
      </c>
      <c r="FT16" s="174" t="e">
        <f>MATCH(N16,Data!$AAE$2:$AAE$8,0)</f>
        <v>#N/A</v>
      </c>
      <c r="FU16" s="351" t="e">
        <f>INDEX(Data!$AAF$2:$AAH$8, 'Shutters Page 1'!FT16, 'Shutters Page 1'!FS16)</f>
        <v>#N/A</v>
      </c>
      <c r="FV16" s="351" t="e">
        <f>MATCH(G16,Data!$AAF$12:$AAH$12,0)</f>
        <v>#N/A</v>
      </c>
      <c r="FW16" s="174" t="e">
        <f>MATCH(N16,Data!$AAE$13:$AAE$19,0)</f>
        <v>#N/A</v>
      </c>
      <c r="FX16" s="351" t="e">
        <f>INDEX(Data!$AAF$13:$AAH$19, 'Shutters Page 1'!FW16, 'Shutters Page 1'!FV16)</f>
        <v>#N/A</v>
      </c>
      <c r="FY16" s="351" t="e">
        <f>MATCH(G16,Data!$AAK$1:$AAM$1,0)</f>
        <v>#N/A</v>
      </c>
      <c r="FZ16" s="174" t="e">
        <f>MATCH(Q16,Data!$AAJ$2,0)</f>
        <v>#N/A</v>
      </c>
      <c r="GA16" s="351" t="e">
        <f>INDEX(Data!$AAK$2:$AAM$2, 'Shutters Page 1'!FZ16, 'Shutters Page 1'!FY16)</f>
        <v>#N/A</v>
      </c>
      <c r="GB16" s="351" t="e">
        <f>MATCH(G16,Data!$AAK$12:$AAM$12,0)</f>
        <v>#N/A</v>
      </c>
      <c r="GC16" s="174" t="e">
        <f>MATCH(Q16,Data!$AAJ$13,0)</f>
        <v>#N/A</v>
      </c>
      <c r="GD16" s="351" t="e">
        <f>INDEX(Data!$AAK$13:$AAM$13, 'Shutters Page 1'!GC16, 'Shutters Page 1'!GB16)</f>
        <v>#N/A</v>
      </c>
      <c r="GE16" s="162" t="e">
        <f>VLOOKUP(H16,Data!$AAR$1:$AAS$35,2,FALSE)</f>
        <v>#N/A</v>
      </c>
      <c r="GF16" s="162" t="e">
        <f t="shared" si="50"/>
        <v>#N/A</v>
      </c>
      <c r="GG16" s="162" t="e">
        <f t="shared" si="51"/>
        <v>#N/A</v>
      </c>
      <c r="GH16" s="162" t="e">
        <f t="shared" si="52"/>
        <v>#N/A</v>
      </c>
      <c r="GI16" s="162" t="str">
        <f>IF(G16=Data!$NC$1,Data!$ND$1,Data!$NE$1)</f>
        <v>FauxwoodStile</v>
      </c>
      <c r="GL16" s="55" t="e">
        <f>VLOOKUP('Shutters Page 1'!H16,Data!$BD$81:$BE$115,2,FALSE)</f>
        <v>#N/A</v>
      </c>
      <c r="GM16" s="55" t="e">
        <f>IF(GL16=Data!$BB$80,"Yes", "No")</f>
        <v>#N/A</v>
      </c>
      <c r="GN16" s="55" t="e">
        <f>IF(GM16="Yes",Data!$EJ$57,'Shutters Page 1'!EB16)</f>
        <v>#N/A</v>
      </c>
      <c r="GQ16" s="55" t="b">
        <f>IF(G16=$GQ$6,Data!$EN$47,IF(G16='Shutters Page 1'!$GQ$7,Data!$EM$47))</f>
        <v>0</v>
      </c>
    </row>
    <row r="17" spans="1:199" ht="36.75" customHeight="1">
      <c r="A17" s="53">
        <v>9</v>
      </c>
      <c r="B17" s="17"/>
      <c r="C17" s="14"/>
      <c r="D17" s="14"/>
      <c r="E17" s="14"/>
      <c r="F17" s="10"/>
      <c r="G17" s="13"/>
      <c r="H17" s="555"/>
      <c r="I17" s="603"/>
      <c r="J17" s="14"/>
      <c r="K17" s="149" t="str">
        <f t="shared" si="0"/>
        <v/>
      </c>
      <c r="L17" s="15"/>
      <c r="M17" s="15"/>
      <c r="N17" s="15"/>
      <c r="O17" s="15"/>
      <c r="P17" s="15"/>
      <c r="Q17" s="486"/>
      <c r="R17" s="486"/>
      <c r="S17" s="13"/>
      <c r="T17" s="13"/>
      <c r="U17" s="13"/>
      <c r="V17" s="13"/>
      <c r="W17" s="15"/>
      <c r="X17" s="15"/>
      <c r="Y17" s="16"/>
      <c r="Z17" s="16"/>
      <c r="AA17" s="14"/>
      <c r="AB17" s="14"/>
      <c r="AC17" s="14"/>
      <c r="AD17" s="386"/>
      <c r="AE17" s="169" t="str">
        <f t="shared" si="1"/>
        <v/>
      </c>
      <c r="AF17" s="236"/>
      <c r="AG17" s="237"/>
      <c r="AI17" s="55">
        <f t="shared" si="2"/>
        <v>0</v>
      </c>
      <c r="AJ17" s="55">
        <f t="shared" si="3"/>
        <v>0</v>
      </c>
      <c r="AK17" s="55">
        <f>IF(P17&lt;&gt;"",VLOOKUP(P17,Data!$AAY$2:$AAZ$44,2,FALSE),0)</f>
        <v>0</v>
      </c>
      <c r="AL17" s="55" t="str">
        <f>IF(E17=Data!$BB$10,Data!$BC$10,Data!$BC$2)</f>
        <v>ShutterMaterial</v>
      </c>
      <c r="AP17" s="55" t="str">
        <f t="shared" si="53"/>
        <v>SlidingSystemNA</v>
      </c>
      <c r="AV17" s="114" t="str">
        <f t="shared" si="4"/>
        <v/>
      </c>
      <c r="AW17" s="66" t="e">
        <f t="shared" si="5"/>
        <v>#N/A</v>
      </c>
      <c r="AX17" s="174" t="e">
        <f>VLOOKUP(Q17,Data!$MI$2:$MJ$4,2,FALSE)</f>
        <v>#N/A</v>
      </c>
      <c r="AY17" s="174" t="e">
        <f t="shared" si="6"/>
        <v>#N/A</v>
      </c>
      <c r="AZ17" s="174" t="e">
        <f>VLOOKUP(N17,Data!$BI$24:$BJ$30,2,FALSE)</f>
        <v>#N/A</v>
      </c>
      <c r="BA17" s="160" t="b">
        <f>IF(G17=Data!$BO$2,Data!$BS$2, IF('Shutters Page 1'!G17=Data!$BP$2,Data!$BT$2, IF('Shutters Page 1'!G17=Data!$BQ$2,Data!$BU$2)))</f>
        <v>0</v>
      </c>
      <c r="BB17" s="361" t="str">
        <f t="shared" si="7"/>
        <v>No</v>
      </c>
      <c r="BC17" s="160" t="e">
        <f t="shared" si="8"/>
        <v>#DIV/0!</v>
      </c>
      <c r="BD17" s="361" t="e">
        <f t="shared" si="9"/>
        <v>#DIV/0!</v>
      </c>
      <c r="BE17" s="160" t="e">
        <f t="shared" si="10"/>
        <v>#DIV/0!</v>
      </c>
      <c r="BF17" s="361" t="str">
        <f t="shared" si="11"/>
        <v>No</v>
      </c>
      <c r="BG17" s="160" t="str">
        <f t="shared" si="12"/>
        <v>NotRequired</v>
      </c>
      <c r="BH17" s="160" t="b">
        <f>IF(G17=Data!$BO$2,Data!$CM$2, IF('Shutters Page 1'!G17=Data!$BP$2,Data!$CN$2, IF('Shutters Page 1'!G17=Data!$BQ$2,Data!$CO$2)))</f>
        <v>0</v>
      </c>
      <c r="BI17" s="160" t="e">
        <f t="shared" si="54"/>
        <v>#DIV/0!</v>
      </c>
      <c r="BJ17" s="161" t="str">
        <f t="shared" si="13"/>
        <v>NoHighlight</v>
      </c>
      <c r="BK17" s="361" t="str">
        <f t="shared" si="14"/>
        <v>FauxwoodRPNo</v>
      </c>
      <c r="BL17" s="161" t="str">
        <f>IF(SUM(--ISNUMBER( SEARCH({"t","T"},P17))),"Yes","No")</f>
        <v>No</v>
      </c>
      <c r="BM17" s="161" t="str">
        <f t="shared" si="15"/>
        <v>OK</v>
      </c>
      <c r="BN17" s="161" t="str">
        <f t="shared" si="16"/>
        <v>OK</v>
      </c>
      <c r="BO17" s="161" t="str">
        <f t="shared" si="17"/>
        <v>OK</v>
      </c>
      <c r="BP17" s="161" t="e">
        <f>IF(OR(AND(F17&gt;1,#REF!="L",#REF!="l"),AND(F17&gt;1,#REF!="R",#REF!="r"),AND(F17&gt;2,#REF!="LR",#REF!="lr")), "Error","OK")</f>
        <v>#REF!</v>
      </c>
      <c r="BQ17" s="161" t="str">
        <f t="shared" si="18"/>
        <v>FauxwoodAINo</v>
      </c>
      <c r="BR17" s="161" t="str">
        <f>IF(SUM(--ISNUMBER(SEARCH({"combo","Combo","COMBO"}, B34))),"Yes","No")</f>
        <v>No</v>
      </c>
      <c r="BS17" s="161" t="str">
        <f t="shared" si="55"/>
        <v>No</v>
      </c>
      <c r="BT17" s="161" t="str">
        <f>IF(SUM(--ISNUMBER( SEARCH({"c","C","b","B"},#REF!))),"Yes","No")</f>
        <v>No</v>
      </c>
      <c r="BU17" s="162">
        <f t="shared" si="19"/>
        <v>0</v>
      </c>
      <c r="BV17" s="174" t="str">
        <f>IF(N17=Data!$BI$3,Data!$DR$3,IF(N17=Data!$BI$4,Data!$DS$3,IF(N17=Data!$BI$5,Data!$DT$3,IF(N17=Data!$BI$6,Data!$DU$3,IF(N17=Data!$BI$7,Data!$DV$3, IF(N17=Data!$BI$8,Data!$DX$3, IF(N17=Data!$BI$9,Data!$DW$3, "")))))))</f>
        <v/>
      </c>
      <c r="BW17" s="174" t="str">
        <f>IF(N17=Data!$BI$3,Data!$DY$3,IF(N17=Data!$BI$4,Data!$DZ$3,IF(N17=Data!$BI$5,Data!$EA$3,IF(N17=Data!$BI$6,Data!$EB$3,IF(N17=Data!$BI$7,Data!$EC$3,IF(N17=Data!$BI$8,Data!$EE$3, IF(N17=Data!$BI$9,Data!$ED$3,"")))))))</f>
        <v/>
      </c>
      <c r="BX17" s="162">
        <f t="shared" si="20"/>
        <v>0</v>
      </c>
      <c r="BY17" s="162">
        <f t="shared" si="21"/>
        <v>0</v>
      </c>
      <c r="BZ17" s="174" t="e">
        <f t="shared" si="22"/>
        <v>#DIV/0!</v>
      </c>
      <c r="CA17" s="351" t="b">
        <f>IF(G17=Data!$EU$2,Data!$ES$2,IF(G17=Data!$EU$3,Data!$ER$2, IF(G17=Data!$EU$5,Data!$ET$2, IF(G17=Data!$EU$4,Data!$EQ$2,IF(G17=Data!$EU$6,Data!$ER$2)))))</f>
        <v>0</v>
      </c>
      <c r="CB17" s="351" t="b">
        <f>IF(G17=Data!$EU$2,Data!$EW$2,IF(G17=Data!$EU$3,Data!$EX$2,IF(G17=Data!$EU$4,Data!$EY$2, IF(G17=Data!$EU$5,Data!$EY$2,IF(G17=Data!$EU$6,Data!$EX$2)))))</f>
        <v>0</v>
      </c>
      <c r="CC17" s="174" t="e">
        <f>VLOOKUP(M17,Data!$EJ$3:$EK$15,2,FALSE)</f>
        <v>#N/A</v>
      </c>
      <c r="CD17" s="174" t="str">
        <f>IF(J17="114mm",VLOOKUP(H17,Data!$FA$2:$FB$18,2,FALSE),"OK")</f>
        <v>OK</v>
      </c>
      <c r="CE17" s="174" t="e">
        <f t="shared" si="23"/>
        <v>#DIV/0!</v>
      </c>
      <c r="CF17" s="174" t="str">
        <f>IF(OR(AND(S17="",Q17&lt;&gt;"")),VLOOKUP(Q17,Data!$FC$2:$FD$19,2,FALSE),"")</f>
        <v/>
      </c>
      <c r="CG17" s="174" t="str">
        <f>IF(N17=Data!$BI$3,Data!$FJ$1,IF(N17=Data!$BI$4,Data!$FK$1,IF(N17=Data!$BI$5,Data!$FL$1,IF(N17=Data!$BI$6,Data!$FM$1,IF(N17=Data!$BI$7,Data!$FN$1, IF(N17=Data!$BI$8,Data!$FO$1, IF(N17=Data!$BI$9,Data!$FI$1, "")))))))</f>
        <v/>
      </c>
      <c r="CH17" s="174" t="str">
        <f>IF(SUM(--ISNUMBER(SEARCH({"z","Z"}, Q17))),"Yes","No")</f>
        <v>No</v>
      </c>
      <c r="CI17" s="174" t="str">
        <f t="shared" si="24"/>
        <v>OK</v>
      </c>
      <c r="CJ17" s="174">
        <f t="shared" si="25"/>
        <v>0</v>
      </c>
      <c r="CK17" s="174" t="e">
        <f>VLOOKUP(P17,Data!$DO$4:$DP$157,2,FALSE)</f>
        <v>#N/A</v>
      </c>
      <c r="CL17" s="174" t="e">
        <f t="shared" si="26"/>
        <v>#N/A</v>
      </c>
      <c r="CM17" s="162"/>
      <c r="CN17" s="162"/>
      <c r="CO17" s="162"/>
      <c r="CP17" s="366" t="str">
        <f t="shared" si="27"/>
        <v>OK</v>
      </c>
      <c r="CQ17" s="174" t="b">
        <f t="shared" si="28"/>
        <v>0</v>
      </c>
      <c r="CR17" s="174">
        <f t="shared" si="29"/>
        <v>0</v>
      </c>
      <c r="CS17" s="174">
        <f t="shared" si="30"/>
        <v>1</v>
      </c>
      <c r="CT17" s="174">
        <f t="shared" si="56"/>
        <v>0</v>
      </c>
      <c r="CU17" s="162" t="e">
        <f t="shared" si="31"/>
        <v>#DIV/0!</v>
      </c>
      <c r="CV17" s="162" t="e">
        <f>VLOOKUP(H17,Data!$BD$81:$BE$111,2,FALSE)</f>
        <v>#N/A</v>
      </c>
      <c r="CW17" s="174" t="str">
        <f t="shared" si="32"/>
        <v/>
      </c>
      <c r="CX17" s="292" t="str">
        <f>IF(H17=Data!$BE$3,Data!$HQ$2, IF(H17=Data!$BE$4,Data!$HP$2, IF(H17=Data!$BE$5,Data!$HR$2, IF(H17=Data!$BE$6,Data!$HO$2))))</f>
        <v>Super WhiteNA</v>
      </c>
      <c r="CY17" s="351" t="b">
        <f>IF(H17=Data!$BH$3,Data!$HU$2, IF(H17=Data!$BH$4,Data!$HT$2, IF(H17=Data!$BH$5,Data!$HS$2)))</f>
        <v>0</v>
      </c>
      <c r="CZ17" s="351" t="b">
        <f>IF(H17=Data!$BF$3,Data!$HQ$16, IF(H17=Data!$BF$4,Data!$HP$16, IF(H17=Data!$BF$5,Data!$HR$16, IF(H17=Data!$BF$6,Data!$HO$16))))</f>
        <v>0</v>
      </c>
      <c r="DA17" s="351" t="b">
        <f>IF(G17=Data!$BC$3,'Shutters Page 1'!CW17,IF(G17=Data!$BC$4,'Shutters Page 1'!CX17,IF(G17=Data!$BC$6,'Shutters Page 1'!CY17, IF(G17=Data!$BC$5, 'Shutters Page 1'!CX17,IF(G17=Data!$BC$7,'Shutters Page 1'!CX17)))))</f>
        <v>0</v>
      </c>
      <c r="DB17" s="162" t="e">
        <f>IF(OR(AND(L17&gt;0,#REF!="")), "Error","OK")</f>
        <v>#REF!</v>
      </c>
      <c r="DC17" s="174" t="e">
        <f>IF(COUNTIF(#REF!,Data!$CX$6),"Yes","")</f>
        <v>#REF!</v>
      </c>
      <c r="DD17" s="55" t="str">
        <f t="shared" si="33"/>
        <v/>
      </c>
      <c r="DG17" s="55" t="str">
        <f>IF(N17=Data!$BI$5,"Yes",IF(N17=Data!$BI$6,"Yes","No"))</f>
        <v>No</v>
      </c>
      <c r="DH17" s="66" t="b">
        <f>IF(N17=Data!$BI$3,Data!$JB$2,IF(N17=Data!$BI$4,Data!$JC$2,IF(N17=Data!$BI$5,Data!$JD$2,IF(N17=Data!$BI$6,DI17,IF(N17=Data!$BI$7,Data!$JF$2, IF(N17=Data!$BI$8,Data!$JA$2, IF(N17=Data!$BI$9,Data!$JG$2)))))))</f>
        <v>0</v>
      </c>
      <c r="DI17" s="55" t="e">
        <f>VLOOKUP(P17,Data!$AAY$2:$ABA$44,3,FALSE)</f>
        <v>#N/A</v>
      </c>
      <c r="DK17" s="66" t="e">
        <f>VLOOKUP(P17,Data!$DO$4:$DQ$157,3,FALSE)</f>
        <v>#N/A</v>
      </c>
      <c r="DL17" s="55" t="e">
        <f t="shared" si="34"/>
        <v>#N/A</v>
      </c>
      <c r="DM17" s="55" t="e">
        <f t="shared" si="57"/>
        <v>#N/A</v>
      </c>
      <c r="DN17" s="162" t="b">
        <f>IF(Q17=Data!$BK$3,Data!$JH$2,IF(Q17=Data!$BK$4,Data!$JI$2,IF(Q17=Data!$BK$5,Data!$JJ$2,IF(Q17=Data!$BK$6,Data!$JK$2,IF(Q17=Data!$BK$7,Data!$JL$2,IF(Q17=Data!$BK$8,Data!$JM$2,IF(Q17=Data!$BK$9,Data!$JN$2,IF(Q17=Data!$BK$10,Data!$JO$2,IF(Q17=Data!$BK$11,Data!$JP$2,IF(Q17=Data!$BK$12,Data!$JQ$2,IF(Q17=Data!$BK$13,Data!$JR$2,IF(Q17=Data!$BK$14,Data!$JS$2,IF(Q17=Data!$BK$15,Data!$JT$2,IF(Q17=Data!$BK$16,Data!$JU$2,IF(Q17=Data!$BK$17,Data!$JV$2,IF(Q17=Data!$BK$18,Data!$JW$2, IF(Q17=Data!$BK$19,Data!$JX$2, IF(Q17=Data!$BK$20,Data!$JY$2, IF(Q17=Data!$BK$21,Data!$JN$2, IF(Q17=Data!$BK$22,Data!$JN$2, IF(Q17=Data!$BK$23,Data!$JN$2, IF(Q17=Data!$BK$24,Data!$JL$19))))))))))))))))))))))</f>
        <v>0</v>
      </c>
      <c r="DO17" s="55" t="str">
        <f>Data!$JH$19</f>
        <v>LRFrameAir</v>
      </c>
      <c r="DP17" s="55" t="b">
        <f>IF(G17=Data!$JH$18,'Shutters Page 1'!DO17,'Shutters Page 1'!DN17)</f>
        <v>0</v>
      </c>
      <c r="DR17" s="174" t="str">
        <f t="shared" si="58"/>
        <v/>
      </c>
      <c r="DS17" s="174" t="e">
        <f t="shared" si="59"/>
        <v>#N/A</v>
      </c>
      <c r="DT17" s="174" t="str">
        <f t="shared" si="35"/>
        <v>OK</v>
      </c>
      <c r="DU17" s="174" t="str">
        <f t="shared" si="36"/>
        <v>OK</v>
      </c>
      <c r="DV17" s="174" t="str">
        <f t="shared" si="37"/>
        <v>OK</v>
      </c>
      <c r="DW17" s="174" t="str">
        <f t="shared" si="38"/>
        <v>OK</v>
      </c>
      <c r="DX17" s="66" t="b">
        <f>IF(N17=Data!$LW$2,Data!$LX$1,IF(N17=Data!$LW$3,Data!$LY$1,IF(N17=Data!$LW$4,Data!$LZ$1,IF(N17=Data!$LW$5,Data!$MA$1,IF(N17=Data!$LW$6,Data!$MB$1,IF(N17=Data!$LW$7,Data!$MC$1, IF(N17=Data!$LW$8,Data!$MX$1)))))))</f>
        <v>0</v>
      </c>
      <c r="DY17" s="66" t="b">
        <f>IF(N17=Data!$LW$2,Data!$LX$147,IF(N17=Data!$LW$7,Data!$MC$1))</f>
        <v>0</v>
      </c>
      <c r="DZ17" s="66" t="b">
        <f>IF(G17=Data!$BC$3,'Shutters Page 1'!DX17,IF(G17=Data!$BC$5,'Shutters Page 1'!DY17))</f>
        <v>0</v>
      </c>
      <c r="EA17" s="66" t="b">
        <f>IF(E17=Data!$MD$2,Data!$ME$2, IF(E17=Data!$MD$3,Data!$MF$2, IF(E17=Data!$MD$4,Data!$MG$2)))</f>
        <v>0</v>
      </c>
      <c r="EB17" s="162" t="str">
        <f>IF(E17="MS",Data!$AK$1,IF(G17=Data!$BC$5,Data!$EJ$40,IF(G17=Data!$BC$4,Data!$EJ$20,Data!$EJ$2)))</f>
        <v>Special_Window_Timber</v>
      </c>
      <c r="EC17" s="66" t="str">
        <f>IF(OR(AND(T17="",Q17&lt;&gt;"")),VLOOKUP(Q17,Data!$FC$2:$FD$18,2,FALSE),"")</f>
        <v/>
      </c>
      <c r="ED17" s="66" t="str">
        <f>IF(OR(AND(U17="",Q17&lt;&gt;"")),VLOOKUP(Q17,Data!$FC$2:$FD$18,2,FALSE),"")</f>
        <v/>
      </c>
      <c r="EE17" s="66" t="str">
        <f>IF(OR(AND(V17="",Q17&lt;&gt;"")),VLOOKUP(Q17,Data!$FC$2:$FD$18,2,FALSE),"")</f>
        <v/>
      </c>
      <c r="EF17" s="162" t="e">
        <f>VLOOKUP(N17,Data!$MK$2:$ML$8,2,FALSE)</f>
        <v>#N/A</v>
      </c>
      <c r="EG17" s="66" t="e">
        <f>VLOOKUP(P17,Data!$DO$4:$DO$158,1,FALSE)</f>
        <v>#N/A</v>
      </c>
      <c r="EH17" s="66" t="e">
        <f t="shared" si="39"/>
        <v>#N/A</v>
      </c>
      <c r="EI17" s="55" t="str">
        <f t="shared" si="40"/>
        <v/>
      </c>
      <c r="EJ17" s="162" t="str">
        <f t="shared" si="41"/>
        <v>OK</v>
      </c>
      <c r="EK17" s="405" t="str">
        <f>Data!$JI$19</f>
        <v>TopBottomFrameAir</v>
      </c>
      <c r="EL17" s="405" t="b">
        <f>IF(G17=Data!$JH$18,EK17,EM17)</f>
        <v>0</v>
      </c>
      <c r="EM17" s="174" t="b">
        <f>IF(Q17=Data!$NN$3,Data!$NO$2, IF(Q17=Data!$NN$4,Data!$NP$2, IF(Q17=Data!$NN$5,Data!$NQ$2, IF(Q17=Data!$NN$6,Data!$NR$2, IF(Q17=Data!$NN$7,Data!$NS$2, IF(Q17=Data!$NN$8,Data!$NT$2, IF(Q17=Data!$NN$9,Data!$NU$2, IF(Q17=Data!$NN$10,Data!$NV$2, IF(Q17=Data!$NN$11,Data!$NW$2, IF(Q17=Data!$NN$12,Data!$NX$2, IF(Q17=Data!$NN$13,Data!$NY$2, IF(Q17=Data!$NN$14,Data!$NZ$2, IF(Q17=Data!$NN$15,Data!$OA$2, IF(Q17=Data!$NN$16,Data!$OB$2, IF(Q17=Data!$NN$17,Data!$OC$2, IF(Q17=Data!$NN$18,Data!$OD$2, IF(Q17=Data!$NN$19,Data!$OE$2, IF(Q17=Data!$NN$20,Data!$OG$2, IF(Q17=Data!$NN$25,Data!$NT$2, IF(Q17=Data!$NN$26,Data!$NT$2, IF(Q17=Data!$NN$27,Data!$NT$2, IF(Q17=Data!$NN$28,Data!$OH$2))))))))))))))))))))))</f>
        <v>0</v>
      </c>
      <c r="EN17" s="174" t="b">
        <f>IF(O17=$EN$7,Data!$OD$15,'Shutters Page 1'!EO17)</f>
        <v>0</v>
      </c>
      <c r="EO17" s="174" t="b">
        <f>IF(Q17=Data!$NN$3,Data!$NO$15,IF(Q17=Data!$NN$4,Data!$NP$15,IF(Q17=Data!$NN$5,Data!$NQ$15,IF(Q17=Data!$NN$6,Data!$NR$15,IF(Q17=Data!$NN$7,Data!$NS$15,IF(Q17=Data!$NN$8,Data!$NT$15,IF(Q17=Data!$NN$9,Data!$NU$15,IF(Q17=Data!$NN$10,Data!$NV$15,IF(Q17=Data!$NN$11,Data!$NW$15,IF(Q17=Data!$NN$12,Data!$NX$15,IF(Q17=Data!$NN$13,Data!$NY$15,IF(Q17=Data!$NN$14,Data!$NZ$15,IF(N17=Data!$NN$22,Data!$OA$15,IF(N17=Data!$NN$23,Data!$OB$15,IF(Q17=Data!$NN$19,Data!$OC$15, IF(Q17=Data!$NN$20,Data!$OG$15,IF(Q17=Data!$NN$25,Data!$NT$15,IF(Q17=Data!$NN$26,Data!$NT$15,IF(Q17=Data!$NN$27,Data!$NT$15,IF(Q17=Data!$NN$28,Data!$OH$15))))))))))))))))))))</f>
        <v>0</v>
      </c>
      <c r="EP17" s="406" t="str">
        <f>Data!$JI$19</f>
        <v>TopBottomFrameAir</v>
      </c>
      <c r="EQ17" s="406" t="b">
        <f>IF(G17=Data!$JH$18,EP17,EN17)</f>
        <v>0</v>
      </c>
      <c r="ER17" s="351" t="e">
        <f>MATCH(G17,Data!$CW$10:$CW$14,0)</f>
        <v>#N/A</v>
      </c>
      <c r="ES17" s="174" t="e">
        <f>MATCH(J17,Data!$CX$9:$DA$9,0)</f>
        <v>#N/A</v>
      </c>
      <c r="ET17" s="355" t="e">
        <f>INDEX(Data!$CX$10:$DA$14,'Shutters Page 1'!ER17,'Shutters Page 1'!ES17)</f>
        <v>#N/A</v>
      </c>
      <c r="EU17" s="355" t="e">
        <f>VLOOKUP(H17,Data!$BD$81:$BE$115,2,FALSE)</f>
        <v>#N/A</v>
      </c>
      <c r="EV17" s="355" t="e">
        <f>IF(EU17=Data!$BB$80,Data!$CW$20,'Shutters Page 1'!ET17)</f>
        <v>#N/A</v>
      </c>
      <c r="EW17" s="174" t="str">
        <f>IF(SUM(--ISNUMBER(SEARCH({"combo","Combo","COMBO"}, B34))),"Yes","No")</f>
        <v>No</v>
      </c>
      <c r="EX17" s="174" t="str">
        <f>IF(SUM(--ISNUMBER(SEARCH({"combo","Combo","COMBO"}, F34))),"Yes","No")</f>
        <v>No</v>
      </c>
      <c r="EY17" s="174" t="str">
        <f t="shared" si="60"/>
        <v>No</v>
      </c>
      <c r="EZ17" s="162">
        <f t="shared" si="42"/>
        <v>1</v>
      </c>
      <c r="FA17" s="162" t="e">
        <f t="shared" si="43"/>
        <v>#DIV/0!</v>
      </c>
      <c r="FB17" s="174" t="str">
        <f t="shared" si="44"/>
        <v/>
      </c>
      <c r="FC17" s="351" t="str">
        <f t="shared" si="45"/>
        <v/>
      </c>
      <c r="FD17" s="351" t="str">
        <f t="shared" si="46"/>
        <v/>
      </c>
      <c r="FE17" s="174" t="str">
        <f t="shared" si="47"/>
        <v/>
      </c>
      <c r="FF17" s="174" t="str">
        <f t="shared" si="48"/>
        <v/>
      </c>
      <c r="FG17" s="174" t="str">
        <f t="shared" si="49"/>
        <v/>
      </c>
      <c r="FH17" s="278" t="str">
        <f t="shared" si="61"/>
        <v>No</v>
      </c>
      <c r="FI17" s="351" t="e">
        <f>MATCH(G17,Data!$FH$18:$FL$18,0)</f>
        <v>#N/A</v>
      </c>
      <c r="FJ17" s="174" t="e">
        <f>MATCH(N17,Data!$FG$19:$FG$25,0)</f>
        <v>#N/A</v>
      </c>
      <c r="FK17" s="351" t="e">
        <f>INDEX(Data!$FH$19:$FL$25,'Shutters Page 1'!FJ17,'Shutters Page 1'!FI17)</f>
        <v>#N/A</v>
      </c>
      <c r="FL17" s="411" t="e">
        <f>MATCH(G17,Data!$FH$53:$FI$53,0)</f>
        <v>#N/A</v>
      </c>
      <c r="FM17" s="411" t="e">
        <f>MATCH(N17,Data!$FG$54:$FG$60,0)</f>
        <v>#N/A</v>
      </c>
      <c r="FN17" s="411" t="e">
        <f>INDEX(Data!$FH$54:$FI$60,'Shutters Page 1'!FM17,'Shutters Page 1'!FL17)</f>
        <v>#N/A</v>
      </c>
      <c r="FO17" s="411" t="e">
        <f>IF(E17=Data!$FH$35,'Shutters Page 1'!FN17,'Shutters Page 1'!FK17)</f>
        <v>#N/A</v>
      </c>
      <c r="FP17" s="351" t="e">
        <f>MATCH(G17,Data!$ME$26:$MG$26,0)</f>
        <v>#N/A</v>
      </c>
      <c r="FQ17" s="174" t="e">
        <f>MATCH(E17,Data!$MD$27:$MD$29,0)</f>
        <v>#N/A</v>
      </c>
      <c r="FR17" s="351" t="e">
        <f>INDEX(Data!$ME$27:$MG$29, 'Shutters Page 1'!FQ17, 'Shutters Page 1'!FP17)</f>
        <v>#N/A</v>
      </c>
      <c r="FS17" s="351" t="e">
        <f>MATCH(G17,Data!$AAF$1:$AAH$1,0)</f>
        <v>#N/A</v>
      </c>
      <c r="FT17" s="174" t="e">
        <f>MATCH(N17,Data!$AAE$2:$AAE$8,0)</f>
        <v>#N/A</v>
      </c>
      <c r="FU17" s="351" t="e">
        <f>INDEX(Data!$AAF$2:$AAH$8, 'Shutters Page 1'!FT17, 'Shutters Page 1'!FS17)</f>
        <v>#N/A</v>
      </c>
      <c r="FV17" s="351" t="e">
        <f>MATCH(G17,Data!$AAF$12:$AAH$12,0)</f>
        <v>#N/A</v>
      </c>
      <c r="FW17" s="174" t="e">
        <f>MATCH(N17,Data!$AAE$13:$AAE$19,0)</f>
        <v>#N/A</v>
      </c>
      <c r="FX17" s="351" t="e">
        <f>INDEX(Data!$AAF$13:$AAH$19, 'Shutters Page 1'!FW17, 'Shutters Page 1'!FV17)</f>
        <v>#N/A</v>
      </c>
      <c r="FY17" s="351" t="e">
        <f>MATCH(G17,Data!$AAK$1:$AAM$1,0)</f>
        <v>#N/A</v>
      </c>
      <c r="FZ17" s="174" t="e">
        <f>MATCH(Q17,Data!$AAJ$2,0)</f>
        <v>#N/A</v>
      </c>
      <c r="GA17" s="351" t="e">
        <f>INDEX(Data!$AAK$2:$AAM$2, 'Shutters Page 1'!FZ17, 'Shutters Page 1'!FY17)</f>
        <v>#N/A</v>
      </c>
      <c r="GB17" s="351" t="e">
        <f>MATCH(G17,Data!$AAK$12:$AAM$12,0)</f>
        <v>#N/A</v>
      </c>
      <c r="GC17" s="174" t="e">
        <f>MATCH(Q17,Data!$AAJ$13,0)</f>
        <v>#N/A</v>
      </c>
      <c r="GD17" s="351" t="e">
        <f>INDEX(Data!$AAK$13:$AAM$13, 'Shutters Page 1'!GC17, 'Shutters Page 1'!GB17)</f>
        <v>#N/A</v>
      </c>
      <c r="GE17" s="162" t="e">
        <f>VLOOKUP(H17,Data!$AAR$1:$AAS$35,2,FALSE)</f>
        <v>#N/A</v>
      </c>
      <c r="GF17" s="162" t="e">
        <f t="shared" si="50"/>
        <v>#N/A</v>
      </c>
      <c r="GG17" s="162" t="e">
        <f t="shared" si="51"/>
        <v>#N/A</v>
      </c>
      <c r="GH17" s="162" t="e">
        <f t="shared" si="52"/>
        <v>#N/A</v>
      </c>
      <c r="GI17" s="162" t="str">
        <f>IF(G17=Data!$NC$1,Data!$ND$1,Data!$NE$1)</f>
        <v>FauxwoodStile</v>
      </c>
      <c r="GL17" s="55" t="e">
        <f>VLOOKUP('Shutters Page 1'!H17,Data!$BD$81:$BE$115,2,FALSE)</f>
        <v>#N/A</v>
      </c>
      <c r="GM17" s="55" t="e">
        <f>IF(GL17=Data!$BB$80,"Yes", "No")</f>
        <v>#N/A</v>
      </c>
      <c r="GN17" s="55" t="e">
        <f>IF(GM17="Yes",Data!$EJ$57,'Shutters Page 1'!EB17)</f>
        <v>#N/A</v>
      </c>
      <c r="GQ17" s="55" t="b">
        <f>IF(G17=$GQ$6,Data!$EN$47,IF(G17='Shutters Page 1'!$GQ$7,Data!$EM$47))</f>
        <v>0</v>
      </c>
    </row>
    <row r="18" spans="1:199" ht="36.75" customHeight="1">
      <c r="A18" s="53">
        <v>10</v>
      </c>
      <c r="B18" s="17"/>
      <c r="C18" s="14"/>
      <c r="D18" s="14"/>
      <c r="E18" s="14"/>
      <c r="F18" s="10"/>
      <c r="G18" s="13"/>
      <c r="H18" s="555"/>
      <c r="I18" s="603"/>
      <c r="J18" s="14"/>
      <c r="K18" s="149" t="str">
        <f t="shared" si="0"/>
        <v/>
      </c>
      <c r="L18" s="15"/>
      <c r="M18" s="15"/>
      <c r="N18" s="15"/>
      <c r="O18" s="15"/>
      <c r="P18" s="15"/>
      <c r="Q18" s="486"/>
      <c r="R18" s="486"/>
      <c r="S18" s="13"/>
      <c r="T18" s="13"/>
      <c r="U18" s="13"/>
      <c r="V18" s="13"/>
      <c r="W18" s="15"/>
      <c r="X18" s="15"/>
      <c r="Y18" s="16"/>
      <c r="Z18" s="16"/>
      <c r="AA18" s="14"/>
      <c r="AB18" s="14"/>
      <c r="AC18" s="14"/>
      <c r="AD18" s="386"/>
      <c r="AE18" s="169" t="str">
        <f t="shared" si="1"/>
        <v/>
      </c>
      <c r="AF18" s="236"/>
      <c r="AG18" s="237"/>
      <c r="AI18" s="55">
        <f t="shared" si="2"/>
        <v>0</v>
      </c>
      <c r="AJ18" s="55">
        <f t="shared" si="3"/>
        <v>0</v>
      </c>
      <c r="AK18" s="55">
        <f>IF(P18&lt;&gt;"",VLOOKUP(P18,Data!$AAY$2:$AAZ$44,2,FALSE),0)</f>
        <v>0</v>
      </c>
      <c r="AL18" s="55" t="str">
        <f>IF(E18=Data!$BB$10,Data!$BC$10,Data!$BC$2)</f>
        <v>ShutterMaterial</v>
      </c>
      <c r="AP18" s="55" t="str">
        <f t="shared" si="53"/>
        <v>SlidingSystemNA</v>
      </c>
      <c r="AV18" s="114" t="str">
        <f t="shared" si="4"/>
        <v/>
      </c>
      <c r="AW18" s="66" t="e">
        <f t="shared" si="5"/>
        <v>#N/A</v>
      </c>
      <c r="AX18" s="174" t="e">
        <f>VLOOKUP(Q18,Data!$MI$2:$MJ$4,2,FALSE)</f>
        <v>#N/A</v>
      </c>
      <c r="AY18" s="174" t="e">
        <f t="shared" si="6"/>
        <v>#N/A</v>
      </c>
      <c r="AZ18" s="174" t="e">
        <f>VLOOKUP(N18,Data!$BI$24:$BJ$30,2,FALSE)</f>
        <v>#N/A</v>
      </c>
      <c r="BA18" s="160" t="b">
        <f>IF(G18=Data!$BO$2,Data!$BS$2, IF('Shutters Page 1'!G18=Data!$BP$2,Data!$BT$2, IF('Shutters Page 1'!G18=Data!$BQ$2,Data!$BU$2)))</f>
        <v>0</v>
      </c>
      <c r="BB18" s="361" t="str">
        <f t="shared" si="7"/>
        <v>No</v>
      </c>
      <c r="BC18" s="160" t="e">
        <f t="shared" si="8"/>
        <v>#DIV/0!</v>
      </c>
      <c r="BD18" s="361" t="e">
        <f t="shared" si="9"/>
        <v>#DIV/0!</v>
      </c>
      <c r="BE18" s="160" t="e">
        <f t="shared" si="10"/>
        <v>#DIV/0!</v>
      </c>
      <c r="BF18" s="361" t="str">
        <f t="shared" si="11"/>
        <v>No</v>
      </c>
      <c r="BG18" s="160" t="str">
        <f t="shared" si="12"/>
        <v>NotRequired</v>
      </c>
      <c r="BH18" s="160" t="b">
        <f>IF(G18=Data!$BO$2,Data!$CM$2, IF('Shutters Page 1'!G18=Data!$BP$2,Data!$CN$2, IF('Shutters Page 1'!G18=Data!$BQ$2,Data!$CO$2)))</f>
        <v>0</v>
      </c>
      <c r="BI18" s="160" t="e">
        <f t="shared" si="54"/>
        <v>#DIV/0!</v>
      </c>
      <c r="BJ18" s="161" t="str">
        <f t="shared" si="13"/>
        <v>NoHighlight</v>
      </c>
      <c r="BK18" s="361" t="str">
        <f t="shared" si="14"/>
        <v>FauxwoodRPNo</v>
      </c>
      <c r="BL18" s="161" t="str">
        <f>IF(SUM(--ISNUMBER( SEARCH({"t","T"},P18))),"Yes","No")</f>
        <v>No</v>
      </c>
      <c r="BM18" s="161" t="str">
        <f t="shared" si="15"/>
        <v>OK</v>
      </c>
      <c r="BN18" s="161" t="str">
        <f t="shared" si="16"/>
        <v>OK</v>
      </c>
      <c r="BO18" s="161" t="str">
        <f t="shared" si="17"/>
        <v>OK</v>
      </c>
      <c r="BP18" s="161" t="e">
        <f>IF(OR(AND(F18&gt;1,#REF!="L",#REF!="l"),AND(F18&gt;1,#REF!="R",#REF!="r"),AND(F18&gt;2,#REF!="LR",#REF!="lr")), "Error","OK")</f>
        <v>#REF!</v>
      </c>
      <c r="BQ18" s="161" t="str">
        <f t="shared" si="18"/>
        <v>FauxwoodAINo</v>
      </c>
      <c r="BR18" s="161" t="str">
        <f>IF(SUM(--ISNUMBER(SEARCH({"combo","Combo","COMBO"}, B35))),"Yes","No")</f>
        <v>No</v>
      </c>
      <c r="BS18" s="161" t="str">
        <f t="shared" si="55"/>
        <v>No</v>
      </c>
      <c r="BT18" s="161" t="str">
        <f>IF(SUM(--ISNUMBER( SEARCH({"c","C","b","B"},#REF!))),"Yes","No")</f>
        <v>No</v>
      </c>
      <c r="BU18" s="162">
        <f t="shared" si="19"/>
        <v>0</v>
      </c>
      <c r="BV18" s="174" t="str">
        <f>IF(N18=Data!$BI$3,Data!$DR$3,IF(N18=Data!$BI$4,Data!$DS$3,IF(N18=Data!$BI$5,Data!$DT$3,IF(N18=Data!$BI$6,Data!$DU$3,IF(N18=Data!$BI$7,Data!$DV$3, IF(N18=Data!$BI$8,Data!$DX$3, IF(N18=Data!$BI$9,Data!$DW$3, "")))))))</f>
        <v/>
      </c>
      <c r="BW18" s="174" t="str">
        <f>IF(N18=Data!$BI$3,Data!$DY$3,IF(N18=Data!$BI$4,Data!$DZ$3,IF(N18=Data!$BI$5,Data!$EA$3,IF(N18=Data!$BI$6,Data!$EB$3,IF(N18=Data!$BI$7,Data!$EC$3,IF(N18=Data!$BI$8,Data!$EE$3, IF(N18=Data!$BI$9,Data!$ED$3,"")))))))</f>
        <v/>
      </c>
      <c r="BX18" s="162">
        <f t="shared" si="20"/>
        <v>0</v>
      </c>
      <c r="BY18" s="162">
        <f t="shared" si="21"/>
        <v>0</v>
      </c>
      <c r="BZ18" s="174" t="e">
        <f t="shared" si="22"/>
        <v>#DIV/0!</v>
      </c>
      <c r="CA18" s="351" t="b">
        <f>IF(G18=Data!$EU$2,Data!$ES$2,IF(G18=Data!$EU$3,Data!$ER$2, IF(G18=Data!$EU$5,Data!$ET$2, IF(G18=Data!$EU$4,Data!$EQ$2,IF(G18=Data!$EU$6,Data!$ER$2)))))</f>
        <v>0</v>
      </c>
      <c r="CB18" s="351" t="b">
        <f>IF(G18=Data!$EU$2,Data!$EW$2,IF(G18=Data!$EU$3,Data!$EX$2,IF(G18=Data!$EU$4,Data!$EY$2, IF(G18=Data!$EU$5,Data!$EY$2,IF(G18=Data!$EU$6,Data!$EX$2)))))</f>
        <v>0</v>
      </c>
      <c r="CC18" s="174" t="e">
        <f>VLOOKUP(M18,Data!$EJ$3:$EK$15,2,FALSE)</f>
        <v>#N/A</v>
      </c>
      <c r="CD18" s="174" t="str">
        <f>IF(J18="114mm",VLOOKUP(H18,Data!$FA$2:$FB$18,2,FALSE),"OK")</f>
        <v>OK</v>
      </c>
      <c r="CE18" s="174" t="e">
        <f t="shared" si="23"/>
        <v>#DIV/0!</v>
      </c>
      <c r="CF18" s="174" t="str">
        <f>IF(OR(AND(S18="",Q18&lt;&gt;"")),VLOOKUP(Q18,Data!$FC$2:$FD$19,2,FALSE),"")</f>
        <v/>
      </c>
      <c r="CG18" s="174" t="str">
        <f>IF(N18=Data!$BI$3,Data!$FJ$1,IF(N18=Data!$BI$4,Data!$FK$1,IF(N18=Data!$BI$5,Data!$FL$1,IF(N18=Data!$BI$6,Data!$FM$1,IF(N18=Data!$BI$7,Data!$FN$1, IF(N18=Data!$BI$8,Data!$FO$1, IF(N18=Data!$BI$9,Data!$FI$1, "")))))))</f>
        <v/>
      </c>
      <c r="CH18" s="174" t="str">
        <f>IF(SUM(--ISNUMBER(SEARCH({"z","Z"}, Q18))),"Yes","No")</f>
        <v>No</v>
      </c>
      <c r="CI18" s="174" t="str">
        <f t="shared" si="24"/>
        <v>OK</v>
      </c>
      <c r="CJ18" s="174">
        <f t="shared" si="25"/>
        <v>0</v>
      </c>
      <c r="CK18" s="174" t="e">
        <f>VLOOKUP(P18,Data!$DO$4:$DP$157,2,FALSE)</f>
        <v>#N/A</v>
      </c>
      <c r="CL18" s="174" t="e">
        <f t="shared" si="26"/>
        <v>#N/A</v>
      </c>
      <c r="CM18" s="162"/>
      <c r="CN18" s="162"/>
      <c r="CO18" s="162"/>
      <c r="CP18" s="366" t="str">
        <f t="shared" si="27"/>
        <v>OK</v>
      </c>
      <c r="CQ18" s="174" t="b">
        <f t="shared" si="28"/>
        <v>0</v>
      </c>
      <c r="CR18" s="174">
        <f t="shared" si="29"/>
        <v>0</v>
      </c>
      <c r="CS18" s="174">
        <f t="shared" si="30"/>
        <v>1</v>
      </c>
      <c r="CT18" s="174">
        <f t="shared" si="56"/>
        <v>0</v>
      </c>
      <c r="CU18" s="162" t="e">
        <f t="shared" si="31"/>
        <v>#DIV/0!</v>
      </c>
      <c r="CV18" s="162" t="e">
        <f>VLOOKUP(H18,Data!$BD$81:$BE$111,2,FALSE)</f>
        <v>#N/A</v>
      </c>
      <c r="CW18" s="174" t="str">
        <f t="shared" si="32"/>
        <v/>
      </c>
      <c r="CX18" s="292" t="str">
        <f>IF(H18=Data!$BE$3,Data!$HQ$2, IF(H18=Data!$BE$4,Data!$HP$2, IF(H18=Data!$BE$5,Data!$HR$2, IF(H18=Data!$BE$6,Data!$HO$2))))</f>
        <v>Super WhiteNA</v>
      </c>
      <c r="CY18" s="351" t="b">
        <f>IF(H18=Data!$BH$3,Data!$HU$2, IF(H18=Data!$BH$4,Data!$HT$2, IF(H18=Data!$BH$5,Data!$HS$2)))</f>
        <v>0</v>
      </c>
      <c r="CZ18" s="351" t="b">
        <f>IF(H18=Data!$BF$3,Data!$HQ$16, IF(H18=Data!$BF$4,Data!$HP$16, IF(H18=Data!$BF$5,Data!$HR$16, IF(H18=Data!$BF$6,Data!$HO$16))))</f>
        <v>0</v>
      </c>
      <c r="DA18" s="351" t="b">
        <f>IF(G18=Data!$BC$3,'Shutters Page 1'!CW18,IF(G18=Data!$BC$4,'Shutters Page 1'!CX18,IF(G18=Data!$BC$6,'Shutters Page 1'!CY18, IF(G18=Data!$BC$5, 'Shutters Page 1'!CX18,IF(G18=Data!$BC$7,'Shutters Page 1'!CX18)))))</f>
        <v>0</v>
      </c>
      <c r="DB18" s="162" t="e">
        <f>IF(OR(AND(L18&gt;0,#REF!="")), "Error","OK")</f>
        <v>#REF!</v>
      </c>
      <c r="DC18" s="174" t="e">
        <f>IF(COUNTIF(#REF!,Data!$CX$6),"Yes","")</f>
        <v>#REF!</v>
      </c>
      <c r="DD18" s="55" t="str">
        <f t="shared" si="33"/>
        <v/>
      </c>
      <c r="DG18" s="55" t="str">
        <f>IF(N18=Data!$BI$5,"Yes",IF(N18=Data!$BI$6,"Yes","No"))</f>
        <v>No</v>
      </c>
      <c r="DH18" s="66" t="b">
        <f>IF(N18=Data!$BI$3,Data!$JB$2,IF(N18=Data!$BI$4,Data!$JC$2,IF(N18=Data!$BI$5,Data!$JD$2,IF(N18=Data!$BI$6,DI18,IF(N18=Data!$BI$7,Data!$JF$2, IF(N18=Data!$BI$8,Data!$JA$2, IF(N18=Data!$BI$9,Data!$JG$2)))))))</f>
        <v>0</v>
      </c>
      <c r="DI18" s="55" t="e">
        <f>VLOOKUP(P18,Data!$AAY$2:$ABA$44,3,FALSE)</f>
        <v>#N/A</v>
      </c>
      <c r="DK18" s="66" t="e">
        <f>VLOOKUP(P18,Data!$DO$4:$DQ$157,3,FALSE)</f>
        <v>#N/A</v>
      </c>
      <c r="DL18" s="55" t="e">
        <f t="shared" si="34"/>
        <v>#N/A</v>
      </c>
      <c r="DM18" s="55" t="e">
        <f t="shared" si="57"/>
        <v>#N/A</v>
      </c>
      <c r="DN18" s="162" t="b">
        <f>IF(Q18=Data!$BK$3,Data!$JH$2,IF(Q18=Data!$BK$4,Data!$JI$2,IF(Q18=Data!$BK$5,Data!$JJ$2,IF(Q18=Data!$BK$6,Data!$JK$2,IF(Q18=Data!$BK$7,Data!$JL$2,IF(Q18=Data!$BK$8,Data!$JM$2,IF(Q18=Data!$BK$9,Data!$JN$2,IF(Q18=Data!$BK$10,Data!$JO$2,IF(Q18=Data!$BK$11,Data!$JP$2,IF(Q18=Data!$BK$12,Data!$JQ$2,IF(Q18=Data!$BK$13,Data!$JR$2,IF(Q18=Data!$BK$14,Data!$JS$2,IF(Q18=Data!$BK$15,Data!$JT$2,IF(Q18=Data!$BK$16,Data!$JU$2,IF(Q18=Data!$BK$17,Data!$JV$2,IF(Q18=Data!$BK$18,Data!$JW$2, IF(Q18=Data!$BK$19,Data!$JX$2, IF(Q18=Data!$BK$20,Data!$JY$2, IF(Q18=Data!$BK$21,Data!$JN$2, IF(Q18=Data!$BK$22,Data!$JN$2, IF(Q18=Data!$BK$23,Data!$JN$2, IF(Q18=Data!$BK$24,Data!$JL$19))))))))))))))))))))))</f>
        <v>0</v>
      </c>
      <c r="DO18" s="55" t="str">
        <f>Data!$JH$19</f>
        <v>LRFrameAir</v>
      </c>
      <c r="DP18" s="55" t="b">
        <f>IF(G18=Data!$JH$18,'Shutters Page 1'!DO18,'Shutters Page 1'!DN18)</f>
        <v>0</v>
      </c>
      <c r="DR18" s="174" t="str">
        <f t="shared" si="58"/>
        <v/>
      </c>
      <c r="DS18" s="174" t="e">
        <f t="shared" si="59"/>
        <v>#N/A</v>
      </c>
      <c r="DT18" s="174" t="str">
        <f t="shared" si="35"/>
        <v>OK</v>
      </c>
      <c r="DU18" s="174" t="str">
        <f t="shared" si="36"/>
        <v>OK</v>
      </c>
      <c r="DV18" s="174" t="str">
        <f t="shared" si="37"/>
        <v>OK</v>
      </c>
      <c r="DW18" s="174" t="str">
        <f t="shared" si="38"/>
        <v>OK</v>
      </c>
      <c r="DX18" s="66" t="b">
        <f>IF(N18=Data!$LW$2,Data!$LX$1,IF(N18=Data!$LW$3,Data!$LY$1,IF(N18=Data!$LW$4,Data!$LZ$1,IF(N18=Data!$LW$5,Data!$MA$1,IF(N18=Data!$LW$6,Data!$MB$1,IF(N18=Data!$LW$7,Data!$MC$1, IF(N18=Data!$LW$8,Data!$MX$1)))))))</f>
        <v>0</v>
      </c>
      <c r="DY18" s="66" t="b">
        <f>IF(N18=Data!$LW$2,Data!$LX$147,IF(N18=Data!$LW$7,Data!$MC$1))</f>
        <v>0</v>
      </c>
      <c r="DZ18" s="66" t="b">
        <f>IF(G18=Data!$BC$3,'Shutters Page 1'!DX18,IF(G18=Data!$BC$5,'Shutters Page 1'!DY18))</f>
        <v>0</v>
      </c>
      <c r="EA18" s="66" t="b">
        <f>IF(E18=Data!$MD$2,Data!$ME$2, IF(E18=Data!$MD$3,Data!$MF$2, IF(E18=Data!$MD$4,Data!$MG$2)))</f>
        <v>0</v>
      </c>
      <c r="EB18" s="162" t="str">
        <f>IF(E18="MS",Data!$AK$1,IF(G18=Data!$BC$5,Data!$EJ$40,IF(G18=Data!$BC$4,Data!$EJ$20,Data!$EJ$2)))</f>
        <v>Special_Window_Timber</v>
      </c>
      <c r="EC18" s="66" t="str">
        <f>IF(OR(AND(T18="",Q18&lt;&gt;"")),VLOOKUP(Q18,Data!$FC$2:$FD$18,2,FALSE),"")</f>
        <v/>
      </c>
      <c r="ED18" s="66" t="str">
        <f>IF(OR(AND(U18="",Q18&lt;&gt;"")),VLOOKUP(Q18,Data!$FC$2:$FD$18,2,FALSE),"")</f>
        <v/>
      </c>
      <c r="EE18" s="66" t="str">
        <f>IF(OR(AND(V18="",Q18&lt;&gt;"")),VLOOKUP(Q18,Data!$FC$2:$FD$18,2,FALSE),"")</f>
        <v/>
      </c>
      <c r="EF18" s="162" t="e">
        <f>VLOOKUP(N18,Data!$MK$2:$ML$8,2,FALSE)</f>
        <v>#N/A</v>
      </c>
      <c r="EG18" s="66" t="e">
        <f>VLOOKUP(P18,Data!$DO$4:$DO$158,1,FALSE)</f>
        <v>#N/A</v>
      </c>
      <c r="EH18" s="66" t="e">
        <f t="shared" si="39"/>
        <v>#N/A</v>
      </c>
      <c r="EI18" s="55" t="str">
        <f t="shared" si="40"/>
        <v/>
      </c>
      <c r="EJ18" s="162" t="str">
        <f t="shared" si="41"/>
        <v>OK</v>
      </c>
      <c r="EK18" s="405" t="str">
        <f>Data!$JI$19</f>
        <v>TopBottomFrameAir</v>
      </c>
      <c r="EL18" s="405" t="b">
        <f>IF(G18=Data!$JH$18,EK18,EM18)</f>
        <v>0</v>
      </c>
      <c r="EM18" s="174" t="b">
        <f>IF(Q18=Data!$NN$3,Data!$NO$2, IF(Q18=Data!$NN$4,Data!$NP$2, IF(Q18=Data!$NN$5,Data!$NQ$2, IF(Q18=Data!$NN$6,Data!$NR$2, IF(Q18=Data!$NN$7,Data!$NS$2, IF(Q18=Data!$NN$8,Data!$NT$2, IF(Q18=Data!$NN$9,Data!$NU$2, IF(Q18=Data!$NN$10,Data!$NV$2, IF(Q18=Data!$NN$11,Data!$NW$2, IF(Q18=Data!$NN$12,Data!$NX$2, IF(Q18=Data!$NN$13,Data!$NY$2, IF(Q18=Data!$NN$14,Data!$NZ$2, IF(Q18=Data!$NN$15,Data!$OA$2, IF(Q18=Data!$NN$16,Data!$OB$2, IF(Q18=Data!$NN$17,Data!$OC$2, IF(Q18=Data!$NN$18,Data!$OD$2, IF(Q18=Data!$NN$19,Data!$OE$2, IF(Q18=Data!$NN$20,Data!$OG$2, IF(Q18=Data!$NN$25,Data!$NT$2, IF(Q18=Data!$NN$26,Data!$NT$2, IF(Q18=Data!$NN$27,Data!$NT$2, IF(Q18=Data!$NN$28,Data!$OH$2))))))))))))))))))))))</f>
        <v>0</v>
      </c>
      <c r="EN18" s="174" t="b">
        <f>IF(O18=$EN$7,Data!$OD$15,'Shutters Page 1'!EO18)</f>
        <v>0</v>
      </c>
      <c r="EO18" s="174" t="b">
        <f>IF(Q18=Data!$NN$3,Data!$NO$15,IF(Q18=Data!$NN$4,Data!$NP$15,IF(Q18=Data!$NN$5,Data!$NQ$15,IF(Q18=Data!$NN$6,Data!$NR$15,IF(Q18=Data!$NN$7,Data!$NS$15,IF(Q18=Data!$NN$8,Data!$NT$15,IF(Q18=Data!$NN$9,Data!$NU$15,IF(Q18=Data!$NN$10,Data!$NV$15,IF(Q18=Data!$NN$11,Data!$NW$15,IF(Q18=Data!$NN$12,Data!$NX$15,IF(Q18=Data!$NN$13,Data!$NY$15,IF(Q18=Data!$NN$14,Data!$NZ$15,IF(N18=Data!$NN$22,Data!$OA$15,IF(N18=Data!$NN$23,Data!$OB$15,IF(Q18=Data!$NN$19,Data!$OC$15, IF(Q18=Data!$NN$20,Data!$OG$15,IF(Q18=Data!$NN$25,Data!$NT$15,IF(Q18=Data!$NN$26,Data!$NT$15,IF(Q18=Data!$NN$27,Data!$NT$15,IF(Q18=Data!$NN$28,Data!$OH$15))))))))))))))))))))</f>
        <v>0</v>
      </c>
      <c r="EP18" s="406" t="str">
        <f>Data!$JI$19</f>
        <v>TopBottomFrameAir</v>
      </c>
      <c r="EQ18" s="406" t="b">
        <f>IF(G18=Data!$JH$18,EP18,EN18)</f>
        <v>0</v>
      </c>
      <c r="ER18" s="351" t="e">
        <f>MATCH(G18,Data!$CW$10:$CW$14,0)</f>
        <v>#N/A</v>
      </c>
      <c r="ES18" s="174" t="e">
        <f>MATCH(J18,Data!$CX$9:$DA$9,0)</f>
        <v>#N/A</v>
      </c>
      <c r="ET18" s="355" t="e">
        <f>INDEX(Data!$CX$10:$DA$14,'Shutters Page 1'!ER18,'Shutters Page 1'!ES18)</f>
        <v>#N/A</v>
      </c>
      <c r="EU18" s="355" t="e">
        <f>VLOOKUP(H18,Data!$BD$81:$BE$115,2,FALSE)</f>
        <v>#N/A</v>
      </c>
      <c r="EV18" s="355" t="e">
        <f>IF(EU18=Data!$BB$80,Data!$CW$20,'Shutters Page 1'!ET18)</f>
        <v>#N/A</v>
      </c>
      <c r="EW18" s="174" t="str">
        <f>IF(SUM(--ISNUMBER(SEARCH({"combo","Combo","COMBO"}, B35))),"Yes","No")</f>
        <v>No</v>
      </c>
      <c r="EX18" s="174" t="str">
        <f>IF(SUM(--ISNUMBER(SEARCH({"combo","Combo","COMBO"}, F35))),"Yes","No")</f>
        <v>No</v>
      </c>
      <c r="EY18" s="174" t="str">
        <f t="shared" si="60"/>
        <v>No</v>
      </c>
      <c r="EZ18" s="162">
        <f t="shared" si="42"/>
        <v>1</v>
      </c>
      <c r="FA18" s="162" t="e">
        <f t="shared" si="43"/>
        <v>#DIV/0!</v>
      </c>
      <c r="FB18" s="174" t="str">
        <f t="shared" si="44"/>
        <v/>
      </c>
      <c r="FC18" s="351" t="str">
        <f t="shared" si="45"/>
        <v/>
      </c>
      <c r="FD18" s="351" t="str">
        <f t="shared" si="46"/>
        <v/>
      </c>
      <c r="FE18" s="174" t="str">
        <f t="shared" si="47"/>
        <v/>
      </c>
      <c r="FF18" s="174" t="str">
        <f t="shared" si="48"/>
        <v/>
      </c>
      <c r="FG18" s="174" t="str">
        <f t="shared" si="49"/>
        <v/>
      </c>
      <c r="FH18" s="278" t="str">
        <f t="shared" si="61"/>
        <v>No</v>
      </c>
      <c r="FI18" s="351" t="e">
        <f>MATCH(G18,Data!$FH$18:$FL$18,0)</f>
        <v>#N/A</v>
      </c>
      <c r="FJ18" s="174" t="e">
        <f>MATCH(N18,Data!$FG$19:$FG$25,0)</f>
        <v>#N/A</v>
      </c>
      <c r="FK18" s="351" t="e">
        <f>INDEX(Data!$FH$19:$FL$25,'Shutters Page 1'!FJ18,'Shutters Page 1'!FI18)</f>
        <v>#N/A</v>
      </c>
      <c r="FL18" s="411" t="e">
        <f>MATCH(G18,Data!$FH$53:$FI$53,0)</f>
        <v>#N/A</v>
      </c>
      <c r="FM18" s="411" t="e">
        <f>MATCH(N18,Data!$FG$54:$FG$60,0)</f>
        <v>#N/A</v>
      </c>
      <c r="FN18" s="411" t="e">
        <f>INDEX(Data!$FH$54:$FI$60,'Shutters Page 1'!FM18,'Shutters Page 1'!FL18)</f>
        <v>#N/A</v>
      </c>
      <c r="FO18" s="411" t="e">
        <f>IF(E18=Data!$FH$35,'Shutters Page 1'!FN18,'Shutters Page 1'!FK18)</f>
        <v>#N/A</v>
      </c>
      <c r="FP18" s="351" t="e">
        <f>MATCH(G18,Data!$ME$26:$MG$26,0)</f>
        <v>#N/A</v>
      </c>
      <c r="FQ18" s="174" t="e">
        <f>MATCH(E18,Data!$MD$27:$MD$29,0)</f>
        <v>#N/A</v>
      </c>
      <c r="FR18" s="351" t="e">
        <f>INDEX(Data!$ME$27:$MG$29, 'Shutters Page 1'!FQ18, 'Shutters Page 1'!FP18)</f>
        <v>#N/A</v>
      </c>
      <c r="FS18" s="351" t="e">
        <f>MATCH(G18,Data!$AAF$1:$AAH$1,0)</f>
        <v>#N/A</v>
      </c>
      <c r="FT18" s="174" t="e">
        <f>MATCH(N18,Data!$AAE$2:$AAE$8,0)</f>
        <v>#N/A</v>
      </c>
      <c r="FU18" s="351" t="e">
        <f>INDEX(Data!$AAF$2:$AAH$8, 'Shutters Page 1'!FT18, 'Shutters Page 1'!FS18)</f>
        <v>#N/A</v>
      </c>
      <c r="FV18" s="351" t="e">
        <f>MATCH(G18,Data!$AAF$12:$AAH$12,0)</f>
        <v>#N/A</v>
      </c>
      <c r="FW18" s="174" t="e">
        <f>MATCH(N18,Data!$AAE$13:$AAE$19,0)</f>
        <v>#N/A</v>
      </c>
      <c r="FX18" s="351" t="e">
        <f>INDEX(Data!$AAF$13:$AAH$19, 'Shutters Page 1'!FW18, 'Shutters Page 1'!FV18)</f>
        <v>#N/A</v>
      </c>
      <c r="FY18" s="351" t="e">
        <f>MATCH(G18,Data!$AAK$1:$AAM$1,0)</f>
        <v>#N/A</v>
      </c>
      <c r="FZ18" s="174" t="e">
        <f>MATCH(Q18,Data!$AAJ$2,0)</f>
        <v>#N/A</v>
      </c>
      <c r="GA18" s="351" t="e">
        <f>INDEX(Data!$AAK$2:$AAM$2, 'Shutters Page 1'!FZ18, 'Shutters Page 1'!FY18)</f>
        <v>#N/A</v>
      </c>
      <c r="GB18" s="351" t="e">
        <f>MATCH(G18,Data!$AAK$12:$AAM$12,0)</f>
        <v>#N/A</v>
      </c>
      <c r="GC18" s="174" t="e">
        <f>MATCH(Q18,Data!$AAJ$13,0)</f>
        <v>#N/A</v>
      </c>
      <c r="GD18" s="351" t="e">
        <f>INDEX(Data!$AAK$13:$AAM$13, 'Shutters Page 1'!GC18, 'Shutters Page 1'!GB18)</f>
        <v>#N/A</v>
      </c>
      <c r="GE18" s="162" t="e">
        <f>VLOOKUP(H18,Data!$AAR$1:$AAS$35,2,FALSE)</f>
        <v>#N/A</v>
      </c>
      <c r="GF18" s="162" t="e">
        <f t="shared" si="50"/>
        <v>#N/A</v>
      </c>
      <c r="GG18" s="162" t="e">
        <f t="shared" si="51"/>
        <v>#N/A</v>
      </c>
      <c r="GH18" s="162" t="e">
        <f t="shared" si="52"/>
        <v>#N/A</v>
      </c>
      <c r="GI18" s="162" t="str">
        <f>IF(G18=Data!$NC$1,Data!$ND$1,Data!$NE$1)</f>
        <v>FauxwoodStile</v>
      </c>
      <c r="GL18" s="55" t="e">
        <f>VLOOKUP('Shutters Page 1'!H18,Data!$BD$81:$BE$115,2,FALSE)</f>
        <v>#N/A</v>
      </c>
      <c r="GM18" s="55" t="e">
        <f>IF(GL18=Data!$BB$80,"Yes", "No")</f>
        <v>#N/A</v>
      </c>
      <c r="GN18" s="55" t="e">
        <f>IF(GM18="Yes",Data!$EJ$57,'Shutters Page 1'!EB18)</f>
        <v>#N/A</v>
      </c>
      <c r="GQ18" s="55" t="b">
        <f>IF(G18=$GQ$6,Data!$EN$47,IF(G18='Shutters Page 1'!$GQ$7,Data!$EM$47))</f>
        <v>0</v>
      </c>
    </row>
    <row r="19" spans="1:199" ht="36.75" customHeight="1">
      <c r="A19" s="53">
        <v>11</v>
      </c>
      <c r="B19" s="17"/>
      <c r="C19" s="14"/>
      <c r="D19" s="14"/>
      <c r="E19" s="14"/>
      <c r="F19" s="10"/>
      <c r="G19" s="13"/>
      <c r="H19" s="555"/>
      <c r="I19" s="603"/>
      <c r="J19" s="14"/>
      <c r="K19" s="149" t="str">
        <f t="shared" si="0"/>
        <v/>
      </c>
      <c r="L19" s="15"/>
      <c r="M19" s="15"/>
      <c r="N19" s="15"/>
      <c r="O19" s="15"/>
      <c r="P19" s="15"/>
      <c r="Q19" s="486"/>
      <c r="R19" s="486"/>
      <c r="S19" s="13"/>
      <c r="T19" s="13"/>
      <c r="U19" s="13"/>
      <c r="V19" s="13"/>
      <c r="W19" s="15"/>
      <c r="X19" s="15"/>
      <c r="Y19" s="16"/>
      <c r="Z19" s="16"/>
      <c r="AA19" s="14"/>
      <c r="AB19" s="14"/>
      <c r="AC19" s="14"/>
      <c r="AD19" s="386"/>
      <c r="AE19" s="169" t="str">
        <f t="shared" si="1"/>
        <v/>
      </c>
      <c r="AF19" s="236"/>
      <c r="AG19" s="237"/>
      <c r="AI19" s="55">
        <f t="shared" si="2"/>
        <v>0</v>
      </c>
      <c r="AJ19" s="55">
        <f t="shared" si="3"/>
        <v>0</v>
      </c>
      <c r="AK19" s="55">
        <f>IF(P19&lt;&gt;"",VLOOKUP(P19,Data!$AAY$2:$AAZ$44,2,FALSE),0)</f>
        <v>0</v>
      </c>
      <c r="AL19" s="55" t="str">
        <f>IF(E19=Data!$BB$10,Data!$BC$10,Data!$BC$2)</f>
        <v>ShutterMaterial</v>
      </c>
      <c r="AP19" s="55" t="str">
        <f t="shared" si="53"/>
        <v>SlidingSystemNA</v>
      </c>
      <c r="AV19" s="114" t="str">
        <f t="shared" si="4"/>
        <v/>
      </c>
      <c r="AW19" s="66" t="e">
        <f t="shared" si="5"/>
        <v>#N/A</v>
      </c>
      <c r="AX19" s="174" t="e">
        <f>VLOOKUP(Q19,Data!$MI$2:$MJ$4,2,FALSE)</f>
        <v>#N/A</v>
      </c>
      <c r="AY19" s="174" t="e">
        <f t="shared" si="6"/>
        <v>#N/A</v>
      </c>
      <c r="AZ19" s="174" t="e">
        <f>VLOOKUP(N19,Data!$BI$24:$BJ$30,2,FALSE)</f>
        <v>#N/A</v>
      </c>
      <c r="BA19" s="160" t="b">
        <f>IF(G19=Data!$BO$2,Data!$BS$2, IF('Shutters Page 1'!G19=Data!$BP$2,Data!$BT$2, IF('Shutters Page 1'!G19=Data!$BQ$2,Data!$BU$2)))</f>
        <v>0</v>
      </c>
      <c r="BB19" s="361" t="str">
        <f t="shared" si="7"/>
        <v>No</v>
      </c>
      <c r="BC19" s="160" t="e">
        <f t="shared" si="8"/>
        <v>#DIV/0!</v>
      </c>
      <c r="BD19" s="361" t="e">
        <f t="shared" si="9"/>
        <v>#DIV/0!</v>
      </c>
      <c r="BE19" s="160" t="e">
        <f t="shared" si="10"/>
        <v>#DIV/0!</v>
      </c>
      <c r="BF19" s="361" t="str">
        <f t="shared" si="11"/>
        <v>No</v>
      </c>
      <c r="BG19" s="160" t="str">
        <f t="shared" si="12"/>
        <v>NotRequired</v>
      </c>
      <c r="BH19" s="160" t="b">
        <f>IF(G19=Data!$BO$2,Data!$CM$2, IF('Shutters Page 1'!G19=Data!$BP$2,Data!$CN$2, IF('Shutters Page 1'!G19=Data!$BQ$2,Data!$CO$2)))</f>
        <v>0</v>
      </c>
      <c r="BI19" s="160" t="e">
        <f t="shared" si="54"/>
        <v>#DIV/0!</v>
      </c>
      <c r="BJ19" s="161" t="str">
        <f t="shared" si="13"/>
        <v>NoHighlight</v>
      </c>
      <c r="BK19" s="361" t="str">
        <f t="shared" si="14"/>
        <v>FauxwoodRPNo</v>
      </c>
      <c r="BL19" s="161" t="str">
        <f>IF(SUM(--ISNUMBER( SEARCH({"t","T"},P19))),"Yes","No")</f>
        <v>No</v>
      </c>
      <c r="BM19" s="161" t="str">
        <f t="shared" si="15"/>
        <v>OK</v>
      </c>
      <c r="BN19" s="161" t="str">
        <f t="shared" si="16"/>
        <v>OK</v>
      </c>
      <c r="BO19" s="161" t="str">
        <f t="shared" si="17"/>
        <v>OK</v>
      </c>
      <c r="BP19" s="161" t="e">
        <f>IF(OR(AND(F19&gt;1,#REF!="L",#REF!="l"),AND(F19&gt;1,#REF!="R",#REF!="r"),AND(F19&gt;2,#REF!="LR",#REF!="lr")), "Error","OK")</f>
        <v>#REF!</v>
      </c>
      <c r="BQ19" s="161" t="str">
        <f t="shared" si="18"/>
        <v>FauxwoodAINo</v>
      </c>
      <c r="BR19" s="161" t="str">
        <f>IF(SUM(--ISNUMBER(SEARCH({"combo","Combo","COMBO"}, B36))),"Yes","No")</f>
        <v>No</v>
      </c>
      <c r="BS19" s="161" t="str">
        <f t="shared" si="55"/>
        <v>No</v>
      </c>
      <c r="BT19" s="161" t="str">
        <f>IF(SUM(--ISNUMBER( SEARCH({"c","C","b","B"},#REF!))),"Yes","No")</f>
        <v>No</v>
      </c>
      <c r="BU19" s="162">
        <f t="shared" si="19"/>
        <v>0</v>
      </c>
      <c r="BV19" s="174" t="str">
        <f>IF(N19=Data!$BI$3,Data!$DR$3,IF(N19=Data!$BI$4,Data!$DS$3,IF(N19=Data!$BI$5,Data!$DT$3,IF(N19=Data!$BI$6,Data!$DU$3,IF(N19=Data!$BI$7,Data!$DV$3, IF(N19=Data!$BI$8,Data!$DX$3, IF(N19=Data!$BI$9,Data!$DW$3, "")))))))</f>
        <v/>
      </c>
      <c r="BW19" s="174" t="str">
        <f>IF(N19=Data!$BI$3,Data!$DY$3,IF(N19=Data!$BI$4,Data!$DZ$3,IF(N19=Data!$BI$5,Data!$EA$3,IF(N19=Data!$BI$6,Data!$EB$3,IF(N19=Data!$BI$7,Data!$EC$3,IF(N19=Data!$BI$8,Data!$EE$3, IF(N19=Data!$BI$9,Data!$ED$3,"")))))))</f>
        <v/>
      </c>
      <c r="BX19" s="162">
        <f t="shared" si="20"/>
        <v>0</v>
      </c>
      <c r="BY19" s="162">
        <f t="shared" si="21"/>
        <v>0</v>
      </c>
      <c r="BZ19" s="174" t="e">
        <f t="shared" si="22"/>
        <v>#DIV/0!</v>
      </c>
      <c r="CA19" s="351" t="b">
        <f>IF(G19=Data!$EU$2,Data!$ES$2,IF(G19=Data!$EU$3,Data!$ER$2, IF(G19=Data!$EU$5,Data!$ET$2, IF(G19=Data!$EU$4,Data!$EQ$2,IF(G19=Data!$EU$6,Data!$ER$2)))))</f>
        <v>0</v>
      </c>
      <c r="CB19" s="351" t="b">
        <f>IF(G19=Data!$EU$2,Data!$EW$2,IF(G19=Data!$EU$3,Data!$EX$2,IF(G19=Data!$EU$4,Data!$EY$2, IF(G19=Data!$EU$5,Data!$EY$2,IF(G19=Data!$EU$6,Data!$EX$2)))))</f>
        <v>0</v>
      </c>
      <c r="CC19" s="174" t="e">
        <f>VLOOKUP(M19,Data!$EJ$3:$EK$15,2,FALSE)</f>
        <v>#N/A</v>
      </c>
      <c r="CD19" s="174" t="str">
        <f>IF(J19="114mm",VLOOKUP(H19,Data!$FA$2:$FB$18,2,FALSE),"OK")</f>
        <v>OK</v>
      </c>
      <c r="CE19" s="174" t="e">
        <f t="shared" si="23"/>
        <v>#DIV/0!</v>
      </c>
      <c r="CF19" s="174" t="str">
        <f>IF(OR(AND(S19="",Q19&lt;&gt;"")),VLOOKUP(Q19,Data!$FC$2:$FD$19,2,FALSE),"")</f>
        <v/>
      </c>
      <c r="CG19" s="174" t="str">
        <f>IF(N19=Data!$BI$3,Data!$FJ$1,IF(N19=Data!$BI$4,Data!$FK$1,IF(N19=Data!$BI$5,Data!$FL$1,IF(N19=Data!$BI$6,Data!$FM$1,IF(N19=Data!$BI$7,Data!$FN$1, IF(N19=Data!$BI$8,Data!$FO$1, IF(N19=Data!$BI$9,Data!$FI$1, "")))))))</f>
        <v/>
      </c>
      <c r="CH19" s="174" t="str">
        <f>IF(SUM(--ISNUMBER(SEARCH({"z","Z"}, Q19))),"Yes","No")</f>
        <v>No</v>
      </c>
      <c r="CI19" s="174" t="str">
        <f t="shared" si="24"/>
        <v>OK</v>
      </c>
      <c r="CJ19" s="174">
        <f t="shared" si="25"/>
        <v>0</v>
      </c>
      <c r="CK19" s="174" t="e">
        <f>VLOOKUP(P19,Data!$DO$4:$DP$157,2,FALSE)</f>
        <v>#N/A</v>
      </c>
      <c r="CL19" s="174" t="e">
        <f t="shared" si="26"/>
        <v>#N/A</v>
      </c>
      <c r="CM19" s="162"/>
      <c r="CN19" s="162"/>
      <c r="CO19" s="162"/>
      <c r="CP19" s="366" t="str">
        <f t="shared" si="27"/>
        <v>OK</v>
      </c>
      <c r="CQ19" s="174" t="b">
        <f t="shared" si="28"/>
        <v>0</v>
      </c>
      <c r="CR19" s="174">
        <f t="shared" si="29"/>
        <v>0</v>
      </c>
      <c r="CS19" s="174">
        <f t="shared" si="30"/>
        <v>1</v>
      </c>
      <c r="CT19" s="174">
        <f t="shared" si="56"/>
        <v>0</v>
      </c>
      <c r="CU19" s="162" t="e">
        <f t="shared" si="31"/>
        <v>#DIV/0!</v>
      </c>
      <c r="CV19" s="162" t="e">
        <f>VLOOKUP(H19,Data!$BD$81:$BE$111,2,FALSE)</f>
        <v>#N/A</v>
      </c>
      <c r="CW19" s="174" t="str">
        <f t="shared" si="32"/>
        <v/>
      </c>
      <c r="CX19" s="292" t="str">
        <f>IF(H19=Data!$BE$3,Data!$HQ$2, IF(H19=Data!$BE$4,Data!$HP$2, IF(H19=Data!$BE$5,Data!$HR$2, IF(H19=Data!$BE$6,Data!$HO$2))))</f>
        <v>Super WhiteNA</v>
      </c>
      <c r="CY19" s="351" t="b">
        <f>IF(H19=Data!$BH$3,Data!$HU$2, IF(H19=Data!$BH$4,Data!$HT$2, IF(H19=Data!$BH$5,Data!$HS$2)))</f>
        <v>0</v>
      </c>
      <c r="CZ19" s="351" t="b">
        <f>IF(H19=Data!$BF$3,Data!$HQ$16, IF(H19=Data!$BF$4,Data!$HP$16, IF(H19=Data!$BF$5,Data!$HR$16, IF(H19=Data!$BF$6,Data!$HO$16))))</f>
        <v>0</v>
      </c>
      <c r="DA19" s="351" t="b">
        <f>IF(G19=Data!$BC$3,'Shutters Page 1'!CW19,IF(G19=Data!$BC$4,'Shutters Page 1'!CX19,IF(G19=Data!$BC$6,'Shutters Page 1'!CY19, IF(G19=Data!$BC$5, 'Shutters Page 1'!CX19,IF(G19=Data!$BC$7,'Shutters Page 1'!CX19)))))</f>
        <v>0</v>
      </c>
      <c r="DB19" s="162" t="e">
        <f>IF(OR(AND(L19&gt;0,#REF!="")), "Error","OK")</f>
        <v>#REF!</v>
      </c>
      <c r="DC19" s="174" t="e">
        <f>IF(COUNTIF(#REF!,Data!$CX$6),"Yes","")</f>
        <v>#REF!</v>
      </c>
      <c r="DD19" s="55" t="str">
        <f t="shared" si="33"/>
        <v/>
      </c>
      <c r="DG19" s="55" t="str">
        <f>IF(N19=Data!$BI$5,"Yes",IF(N19=Data!$BI$6,"Yes","No"))</f>
        <v>No</v>
      </c>
      <c r="DH19" s="66" t="b">
        <f>IF(N19=Data!$BI$3,Data!$JB$2,IF(N19=Data!$BI$4,Data!$JC$2,IF(N19=Data!$BI$5,Data!$JD$2,IF(N19=Data!$BI$6,DI19,IF(N19=Data!$BI$7,Data!$JF$2, IF(N19=Data!$BI$8,Data!$JA$2, IF(N19=Data!$BI$9,Data!$JG$2)))))))</f>
        <v>0</v>
      </c>
      <c r="DI19" s="55" t="e">
        <f>VLOOKUP(P19,Data!$AAY$2:$ABA$44,3,FALSE)</f>
        <v>#N/A</v>
      </c>
      <c r="DK19" s="66" t="e">
        <f>VLOOKUP(P19,Data!$DO$4:$DQ$157,3,FALSE)</f>
        <v>#N/A</v>
      </c>
      <c r="DL19" s="55" t="e">
        <f t="shared" si="34"/>
        <v>#N/A</v>
      </c>
      <c r="DM19" s="55" t="e">
        <f t="shared" si="57"/>
        <v>#N/A</v>
      </c>
      <c r="DN19" s="162" t="b">
        <f>IF(Q19=Data!$BK$3,Data!$JH$2,IF(Q19=Data!$BK$4,Data!$JI$2,IF(Q19=Data!$BK$5,Data!$JJ$2,IF(Q19=Data!$BK$6,Data!$JK$2,IF(Q19=Data!$BK$7,Data!$JL$2,IF(Q19=Data!$BK$8,Data!$JM$2,IF(Q19=Data!$BK$9,Data!$JN$2,IF(Q19=Data!$BK$10,Data!$JO$2,IF(Q19=Data!$BK$11,Data!$JP$2,IF(Q19=Data!$BK$12,Data!$JQ$2,IF(Q19=Data!$BK$13,Data!$JR$2,IF(Q19=Data!$BK$14,Data!$JS$2,IF(Q19=Data!$BK$15,Data!$JT$2,IF(Q19=Data!$BK$16,Data!$JU$2,IF(Q19=Data!$BK$17,Data!$JV$2,IF(Q19=Data!$BK$18,Data!$JW$2, IF(Q19=Data!$BK$19,Data!$JX$2, IF(Q19=Data!$BK$20,Data!$JY$2, IF(Q19=Data!$BK$21,Data!$JN$2, IF(Q19=Data!$BK$22,Data!$JN$2, IF(Q19=Data!$BK$23,Data!$JN$2, IF(Q19=Data!$BK$24,Data!$JL$19))))))))))))))))))))))</f>
        <v>0</v>
      </c>
      <c r="DO19" s="55" t="str">
        <f>Data!$JH$19</f>
        <v>LRFrameAir</v>
      </c>
      <c r="DP19" s="55" t="b">
        <f>IF(G19=Data!$JH$18,'Shutters Page 1'!DO19,'Shutters Page 1'!DN19)</f>
        <v>0</v>
      </c>
      <c r="DR19" s="174" t="str">
        <f t="shared" si="58"/>
        <v/>
      </c>
      <c r="DS19" s="174" t="e">
        <f t="shared" si="59"/>
        <v>#N/A</v>
      </c>
      <c r="DT19" s="174" t="str">
        <f t="shared" si="35"/>
        <v>OK</v>
      </c>
      <c r="DU19" s="174" t="str">
        <f t="shared" si="36"/>
        <v>OK</v>
      </c>
      <c r="DV19" s="174" t="str">
        <f t="shared" si="37"/>
        <v>OK</v>
      </c>
      <c r="DW19" s="174" t="str">
        <f t="shared" si="38"/>
        <v>OK</v>
      </c>
      <c r="DX19" s="66" t="b">
        <f>IF(N19=Data!$LW$2,Data!$LX$1,IF(N19=Data!$LW$3,Data!$LY$1,IF(N19=Data!$LW$4,Data!$LZ$1,IF(N19=Data!$LW$5,Data!$MA$1,IF(N19=Data!$LW$6,Data!$MB$1,IF(N19=Data!$LW$7,Data!$MC$1, IF(N19=Data!$LW$8,Data!$MX$1)))))))</f>
        <v>0</v>
      </c>
      <c r="DY19" s="66" t="b">
        <f>IF(N19=Data!$LW$2,Data!$LX$147,IF(N19=Data!$LW$7,Data!$MC$1))</f>
        <v>0</v>
      </c>
      <c r="DZ19" s="66" t="b">
        <f>IF(G19=Data!$BC$3,'Shutters Page 1'!DX19,IF(G19=Data!$BC$5,'Shutters Page 1'!DY19))</f>
        <v>0</v>
      </c>
      <c r="EA19" s="66" t="b">
        <f>IF(E19=Data!$MD$2,Data!$ME$2, IF(E19=Data!$MD$3,Data!$MF$2, IF(E19=Data!$MD$4,Data!$MG$2)))</f>
        <v>0</v>
      </c>
      <c r="EB19" s="162" t="str">
        <f>IF(E19="MS",Data!$AK$1,IF(G19=Data!$BC$5,Data!$EJ$40,IF(G19=Data!$BC$4,Data!$EJ$20,Data!$EJ$2)))</f>
        <v>Special_Window_Timber</v>
      </c>
      <c r="EC19" s="66" t="str">
        <f>IF(OR(AND(T19="",Q19&lt;&gt;"")),VLOOKUP(Q19,Data!$FC$2:$FD$18,2,FALSE),"")</f>
        <v/>
      </c>
      <c r="ED19" s="66" t="str">
        <f>IF(OR(AND(U19="",Q19&lt;&gt;"")),VLOOKUP(Q19,Data!$FC$2:$FD$18,2,FALSE),"")</f>
        <v/>
      </c>
      <c r="EE19" s="66" t="str">
        <f>IF(OR(AND(V19="",Q19&lt;&gt;"")),VLOOKUP(Q19,Data!$FC$2:$FD$18,2,FALSE),"")</f>
        <v/>
      </c>
      <c r="EF19" s="162" t="e">
        <f>VLOOKUP(N19,Data!$MK$2:$ML$8,2,FALSE)</f>
        <v>#N/A</v>
      </c>
      <c r="EG19" s="66" t="e">
        <f>VLOOKUP(P19,Data!$DO$4:$DO$158,1,FALSE)</f>
        <v>#N/A</v>
      </c>
      <c r="EH19" s="66" t="e">
        <f t="shared" si="39"/>
        <v>#N/A</v>
      </c>
      <c r="EI19" s="55" t="str">
        <f t="shared" si="40"/>
        <v/>
      </c>
      <c r="EJ19" s="162" t="str">
        <f t="shared" si="41"/>
        <v>OK</v>
      </c>
      <c r="EK19" s="405" t="str">
        <f>Data!$JI$19</f>
        <v>TopBottomFrameAir</v>
      </c>
      <c r="EL19" s="405" t="b">
        <f>IF(G19=Data!$JH$18,EK19,EM19)</f>
        <v>0</v>
      </c>
      <c r="EM19" s="174" t="b">
        <f>IF(Q19=Data!$NN$3,Data!$NO$2, IF(Q19=Data!$NN$4,Data!$NP$2, IF(Q19=Data!$NN$5,Data!$NQ$2, IF(Q19=Data!$NN$6,Data!$NR$2, IF(Q19=Data!$NN$7,Data!$NS$2, IF(Q19=Data!$NN$8,Data!$NT$2, IF(Q19=Data!$NN$9,Data!$NU$2, IF(Q19=Data!$NN$10,Data!$NV$2, IF(Q19=Data!$NN$11,Data!$NW$2, IF(Q19=Data!$NN$12,Data!$NX$2, IF(Q19=Data!$NN$13,Data!$NY$2, IF(Q19=Data!$NN$14,Data!$NZ$2, IF(Q19=Data!$NN$15,Data!$OA$2, IF(Q19=Data!$NN$16,Data!$OB$2, IF(Q19=Data!$NN$17,Data!$OC$2, IF(Q19=Data!$NN$18,Data!$OD$2, IF(Q19=Data!$NN$19,Data!$OE$2, IF(Q19=Data!$NN$20,Data!$OG$2, IF(Q19=Data!$NN$25,Data!$NT$2, IF(Q19=Data!$NN$26,Data!$NT$2, IF(Q19=Data!$NN$27,Data!$NT$2, IF(Q19=Data!$NN$28,Data!$OH$2))))))))))))))))))))))</f>
        <v>0</v>
      </c>
      <c r="EN19" s="174" t="b">
        <f>IF(O19=$EN$7,Data!$OD$15,'Shutters Page 1'!EO19)</f>
        <v>0</v>
      </c>
      <c r="EO19" s="174" t="b">
        <f>IF(Q19=Data!$NN$3,Data!$NO$15,IF(Q19=Data!$NN$4,Data!$NP$15,IF(Q19=Data!$NN$5,Data!$NQ$15,IF(Q19=Data!$NN$6,Data!$NR$15,IF(Q19=Data!$NN$7,Data!$NS$15,IF(Q19=Data!$NN$8,Data!$NT$15,IF(Q19=Data!$NN$9,Data!$NU$15,IF(Q19=Data!$NN$10,Data!$NV$15,IF(Q19=Data!$NN$11,Data!$NW$15,IF(Q19=Data!$NN$12,Data!$NX$15,IF(Q19=Data!$NN$13,Data!$NY$15,IF(Q19=Data!$NN$14,Data!$NZ$15,IF(N19=Data!$NN$22,Data!$OA$15,IF(N19=Data!$NN$23,Data!$OB$15,IF(Q19=Data!$NN$19,Data!$OC$15, IF(Q19=Data!$NN$20,Data!$OG$15,IF(Q19=Data!$NN$25,Data!$NT$15,IF(Q19=Data!$NN$26,Data!$NT$15,IF(Q19=Data!$NN$27,Data!$NT$15,IF(Q19=Data!$NN$28,Data!$OH$15))))))))))))))))))))</f>
        <v>0</v>
      </c>
      <c r="EP19" s="406" t="str">
        <f>Data!$JI$19</f>
        <v>TopBottomFrameAir</v>
      </c>
      <c r="EQ19" s="406" t="b">
        <f>IF(G19=Data!$JH$18,EP19,EN19)</f>
        <v>0</v>
      </c>
      <c r="ER19" s="351" t="e">
        <f>MATCH(G19,Data!$CW$10:$CW$14,0)</f>
        <v>#N/A</v>
      </c>
      <c r="ES19" s="174" t="e">
        <f>MATCH(J19,Data!$CX$9:$DA$9,0)</f>
        <v>#N/A</v>
      </c>
      <c r="ET19" s="355" t="e">
        <f>INDEX(Data!$CX$10:$DA$14,'Shutters Page 1'!ER19,'Shutters Page 1'!ES19)</f>
        <v>#N/A</v>
      </c>
      <c r="EU19" s="355" t="e">
        <f>VLOOKUP(H19,Data!$BD$81:$BE$115,2,FALSE)</f>
        <v>#N/A</v>
      </c>
      <c r="EV19" s="355" t="e">
        <f>IF(EU19=Data!$BB$80,Data!$CW$20,'Shutters Page 1'!ET19)</f>
        <v>#N/A</v>
      </c>
      <c r="EW19" s="174" t="str">
        <f>IF(SUM(--ISNUMBER(SEARCH({"combo","Combo","COMBO"}, B36))),"Yes","No")</f>
        <v>No</v>
      </c>
      <c r="EX19" s="174" t="str">
        <f>IF(SUM(--ISNUMBER(SEARCH({"combo","Combo","COMBO"}, F36))),"Yes","No")</f>
        <v>No</v>
      </c>
      <c r="EY19" s="174" t="str">
        <f t="shared" si="60"/>
        <v>No</v>
      </c>
      <c r="EZ19" s="162">
        <f t="shared" si="42"/>
        <v>1</v>
      </c>
      <c r="FA19" s="162" t="e">
        <f t="shared" si="43"/>
        <v>#DIV/0!</v>
      </c>
      <c r="FB19" s="174" t="str">
        <f t="shared" si="44"/>
        <v/>
      </c>
      <c r="FC19" s="351" t="str">
        <f t="shared" si="45"/>
        <v/>
      </c>
      <c r="FD19" s="351" t="str">
        <f t="shared" si="46"/>
        <v/>
      </c>
      <c r="FE19" s="174" t="str">
        <f t="shared" si="47"/>
        <v/>
      </c>
      <c r="FF19" s="174" t="str">
        <f t="shared" si="48"/>
        <v/>
      </c>
      <c r="FG19" s="174" t="str">
        <f t="shared" si="49"/>
        <v/>
      </c>
      <c r="FH19" s="278" t="str">
        <f t="shared" si="61"/>
        <v>No</v>
      </c>
      <c r="FI19" s="351" t="e">
        <f>MATCH(G19,Data!$FH$18:$FL$18,0)</f>
        <v>#N/A</v>
      </c>
      <c r="FJ19" s="174" t="e">
        <f>MATCH(N19,Data!$FG$19:$FG$25,0)</f>
        <v>#N/A</v>
      </c>
      <c r="FK19" s="351" t="e">
        <f>INDEX(Data!$FH$19:$FL$25,'Shutters Page 1'!FJ19,'Shutters Page 1'!FI19)</f>
        <v>#N/A</v>
      </c>
      <c r="FL19" s="411" t="e">
        <f>MATCH(G19,Data!$FH$53:$FI$53,0)</f>
        <v>#N/A</v>
      </c>
      <c r="FM19" s="411" t="e">
        <f>MATCH(N19,Data!$FG$54:$FG$60,0)</f>
        <v>#N/A</v>
      </c>
      <c r="FN19" s="411" t="e">
        <f>INDEX(Data!$FH$54:$FI$60,'Shutters Page 1'!FM19,'Shutters Page 1'!FL19)</f>
        <v>#N/A</v>
      </c>
      <c r="FO19" s="411" t="e">
        <f>IF(E19=Data!$FH$35,'Shutters Page 1'!FN19,'Shutters Page 1'!FK19)</f>
        <v>#N/A</v>
      </c>
      <c r="FP19" s="351" t="e">
        <f>MATCH(G19,Data!$ME$26:$MG$26,0)</f>
        <v>#N/A</v>
      </c>
      <c r="FQ19" s="174" t="e">
        <f>MATCH(E19,Data!$MD$27:$MD$29,0)</f>
        <v>#N/A</v>
      </c>
      <c r="FR19" s="351" t="e">
        <f>INDEX(Data!$ME$27:$MG$29, 'Shutters Page 1'!FQ19, 'Shutters Page 1'!FP19)</f>
        <v>#N/A</v>
      </c>
      <c r="FS19" s="351" t="e">
        <f>MATCH(G19,Data!$AAF$1:$AAH$1,0)</f>
        <v>#N/A</v>
      </c>
      <c r="FT19" s="174" t="e">
        <f>MATCH(N19,Data!$AAE$2:$AAE$8,0)</f>
        <v>#N/A</v>
      </c>
      <c r="FU19" s="351" t="e">
        <f>INDEX(Data!$AAF$2:$AAH$8, 'Shutters Page 1'!FT19, 'Shutters Page 1'!FS19)</f>
        <v>#N/A</v>
      </c>
      <c r="FV19" s="351" t="e">
        <f>MATCH(G19,Data!$AAF$12:$AAH$12,0)</f>
        <v>#N/A</v>
      </c>
      <c r="FW19" s="174" t="e">
        <f>MATCH(N19,Data!$AAE$13:$AAE$19,0)</f>
        <v>#N/A</v>
      </c>
      <c r="FX19" s="351" t="e">
        <f>INDEX(Data!$AAF$13:$AAH$19, 'Shutters Page 1'!FW19, 'Shutters Page 1'!FV19)</f>
        <v>#N/A</v>
      </c>
      <c r="FY19" s="351" t="e">
        <f>MATCH(G19,Data!$AAK$1:$AAM$1,0)</f>
        <v>#N/A</v>
      </c>
      <c r="FZ19" s="174" t="e">
        <f>MATCH(Q19,Data!$AAJ$2,0)</f>
        <v>#N/A</v>
      </c>
      <c r="GA19" s="351" t="e">
        <f>INDEX(Data!$AAK$2:$AAM$2, 'Shutters Page 1'!FZ19, 'Shutters Page 1'!FY19)</f>
        <v>#N/A</v>
      </c>
      <c r="GB19" s="351" t="e">
        <f>MATCH(G19,Data!$AAK$12:$AAM$12,0)</f>
        <v>#N/A</v>
      </c>
      <c r="GC19" s="174" t="e">
        <f>MATCH(Q19,Data!$AAJ$13,0)</f>
        <v>#N/A</v>
      </c>
      <c r="GD19" s="351" t="e">
        <f>INDEX(Data!$AAK$13:$AAM$13, 'Shutters Page 1'!GC19, 'Shutters Page 1'!GB19)</f>
        <v>#N/A</v>
      </c>
      <c r="GE19" s="162" t="e">
        <f>VLOOKUP(H19,Data!$AAR$1:$AAS$35,2,FALSE)</f>
        <v>#N/A</v>
      </c>
      <c r="GF19" s="162" t="e">
        <f t="shared" si="50"/>
        <v>#N/A</v>
      </c>
      <c r="GG19" s="162" t="e">
        <f t="shared" si="51"/>
        <v>#N/A</v>
      </c>
      <c r="GH19" s="162" t="e">
        <f t="shared" si="52"/>
        <v>#N/A</v>
      </c>
      <c r="GI19" s="162" t="str">
        <f>IF(G19=Data!$NC$1,Data!$ND$1,Data!$NE$1)</f>
        <v>FauxwoodStile</v>
      </c>
      <c r="GL19" s="55" t="e">
        <f>VLOOKUP('Shutters Page 1'!H19,Data!$BD$81:$BE$115,2,FALSE)</f>
        <v>#N/A</v>
      </c>
      <c r="GM19" s="55" t="e">
        <f>IF(GL19=Data!$BB$80,"Yes", "No")</f>
        <v>#N/A</v>
      </c>
      <c r="GN19" s="55" t="e">
        <f>IF(GM19="Yes",Data!$EJ$57,'Shutters Page 1'!EB19)</f>
        <v>#N/A</v>
      </c>
      <c r="GQ19" s="55" t="b">
        <f>IF(G19=$GQ$6,Data!$EN$47,IF(G19='Shutters Page 1'!$GQ$7,Data!$EM$47))</f>
        <v>0</v>
      </c>
    </row>
    <row r="20" spans="1:199" ht="36.75" customHeight="1">
      <c r="A20" s="53">
        <v>12</v>
      </c>
      <c r="B20" s="17"/>
      <c r="C20" s="14"/>
      <c r="D20" s="14"/>
      <c r="E20" s="14"/>
      <c r="F20" s="10"/>
      <c r="G20" s="13"/>
      <c r="H20" s="555"/>
      <c r="I20" s="603"/>
      <c r="J20" s="14"/>
      <c r="K20" s="149" t="str">
        <f t="shared" si="0"/>
        <v/>
      </c>
      <c r="L20" s="15"/>
      <c r="M20" s="15"/>
      <c r="N20" s="15"/>
      <c r="O20" s="15"/>
      <c r="P20" s="15"/>
      <c r="Q20" s="486"/>
      <c r="R20" s="486"/>
      <c r="S20" s="13"/>
      <c r="T20" s="13"/>
      <c r="U20" s="13"/>
      <c r="V20" s="13"/>
      <c r="W20" s="15"/>
      <c r="X20" s="15"/>
      <c r="Y20" s="16"/>
      <c r="Z20" s="16"/>
      <c r="AA20" s="14"/>
      <c r="AB20" s="14"/>
      <c r="AC20" s="14"/>
      <c r="AD20" s="386"/>
      <c r="AE20" s="169" t="str">
        <f t="shared" si="1"/>
        <v/>
      </c>
      <c r="AF20" s="236"/>
      <c r="AG20" s="237"/>
      <c r="AI20" s="55">
        <f t="shared" si="2"/>
        <v>0</v>
      </c>
      <c r="AJ20" s="55">
        <f t="shared" si="3"/>
        <v>0</v>
      </c>
      <c r="AK20" s="55">
        <f>IF(P20&lt;&gt;"",VLOOKUP(P20,Data!$AAY$2:$AAZ$44,2,FALSE),0)</f>
        <v>0</v>
      </c>
      <c r="AL20" s="55" t="str">
        <f>IF(E20=Data!$BB$10,Data!$BC$10,Data!$BC$2)</f>
        <v>ShutterMaterial</v>
      </c>
      <c r="AP20" s="55" t="str">
        <f t="shared" si="53"/>
        <v>SlidingSystemNA</v>
      </c>
      <c r="AV20" s="114" t="str">
        <f t="shared" si="4"/>
        <v/>
      </c>
      <c r="AW20" s="66" t="e">
        <f t="shared" si="5"/>
        <v>#N/A</v>
      </c>
      <c r="AX20" s="174" t="e">
        <f>VLOOKUP(Q20,Data!$MI$2:$MJ$4,2,FALSE)</f>
        <v>#N/A</v>
      </c>
      <c r="AY20" s="174" t="e">
        <f t="shared" si="6"/>
        <v>#N/A</v>
      </c>
      <c r="AZ20" s="174" t="e">
        <f>VLOOKUP(N20,Data!$BI$24:$BJ$30,2,FALSE)</f>
        <v>#N/A</v>
      </c>
      <c r="BA20" s="160" t="b">
        <f>IF(G20=Data!$BO$2,Data!$BS$2, IF('Shutters Page 1'!G20=Data!$BP$2,Data!$BT$2, IF('Shutters Page 1'!G20=Data!$BQ$2,Data!$BU$2)))</f>
        <v>0</v>
      </c>
      <c r="BB20" s="361" t="str">
        <f t="shared" si="7"/>
        <v>No</v>
      </c>
      <c r="BC20" s="160" t="e">
        <f t="shared" si="8"/>
        <v>#DIV/0!</v>
      </c>
      <c r="BD20" s="361" t="e">
        <f t="shared" si="9"/>
        <v>#DIV/0!</v>
      </c>
      <c r="BE20" s="160" t="e">
        <f t="shared" si="10"/>
        <v>#DIV/0!</v>
      </c>
      <c r="BF20" s="361" t="str">
        <f t="shared" si="11"/>
        <v>No</v>
      </c>
      <c r="BG20" s="160" t="str">
        <f t="shared" si="12"/>
        <v>NotRequired</v>
      </c>
      <c r="BH20" s="160" t="b">
        <f>IF(G20=Data!$BO$2,Data!$CM$2, IF('Shutters Page 1'!G20=Data!$BP$2,Data!$CN$2, IF('Shutters Page 1'!G20=Data!$BQ$2,Data!$CO$2)))</f>
        <v>0</v>
      </c>
      <c r="BI20" s="160" t="e">
        <f t="shared" si="54"/>
        <v>#DIV/0!</v>
      </c>
      <c r="BJ20" s="161" t="str">
        <f t="shared" si="13"/>
        <v>NoHighlight</v>
      </c>
      <c r="BK20" s="361" t="str">
        <f t="shared" si="14"/>
        <v>FauxwoodRPNo</v>
      </c>
      <c r="BL20" s="161" t="str">
        <f>IF(SUM(--ISNUMBER( SEARCH({"t","T"},P20))),"Yes","No")</f>
        <v>No</v>
      </c>
      <c r="BM20" s="161" t="str">
        <f t="shared" si="15"/>
        <v>OK</v>
      </c>
      <c r="BN20" s="161" t="str">
        <f t="shared" si="16"/>
        <v>OK</v>
      </c>
      <c r="BO20" s="161" t="str">
        <f t="shared" si="17"/>
        <v>OK</v>
      </c>
      <c r="BP20" s="161" t="e">
        <f>IF(OR(AND(F20&gt;1,#REF!="L",#REF!="l"),AND(F20&gt;1,#REF!="R",#REF!="r"),AND(F20&gt;2,#REF!="LR",#REF!="lr")), "Error","OK")</f>
        <v>#REF!</v>
      </c>
      <c r="BQ20" s="161" t="str">
        <f t="shared" si="18"/>
        <v>FauxwoodAINo</v>
      </c>
      <c r="BR20" s="161" t="str">
        <f>IF(SUM(--ISNUMBER(SEARCH({"combo","Combo","COMBO"}, B37))),"Yes","No")</f>
        <v>No</v>
      </c>
      <c r="BS20" s="161" t="str">
        <f t="shared" si="55"/>
        <v>No</v>
      </c>
      <c r="BT20" s="161" t="str">
        <f>IF(SUM(--ISNUMBER( SEARCH({"c","C","b","B"},#REF!))),"Yes","No")</f>
        <v>No</v>
      </c>
      <c r="BU20" s="162">
        <f t="shared" si="19"/>
        <v>0</v>
      </c>
      <c r="BV20" s="174" t="str">
        <f>IF(N20=Data!$BI$3,Data!$DR$3,IF(N20=Data!$BI$4,Data!$DS$3,IF(N20=Data!$BI$5,Data!$DT$3,IF(N20=Data!$BI$6,Data!$DU$3,IF(N20=Data!$BI$7,Data!$DV$3, IF(N20=Data!$BI$8,Data!$DX$3, IF(N20=Data!$BI$9,Data!$DW$3, "")))))))</f>
        <v/>
      </c>
      <c r="BW20" s="174" t="str">
        <f>IF(N20=Data!$BI$3,Data!$DY$3,IF(N20=Data!$BI$4,Data!$DZ$3,IF(N20=Data!$BI$5,Data!$EA$3,IF(N20=Data!$BI$6,Data!$EB$3,IF(N20=Data!$BI$7,Data!$EC$3,IF(N20=Data!$BI$8,Data!$EE$3, IF(N20=Data!$BI$9,Data!$ED$3,"")))))))</f>
        <v/>
      </c>
      <c r="BX20" s="162">
        <f t="shared" si="20"/>
        <v>0</v>
      </c>
      <c r="BY20" s="162">
        <f t="shared" si="21"/>
        <v>0</v>
      </c>
      <c r="BZ20" s="174" t="e">
        <f t="shared" si="22"/>
        <v>#DIV/0!</v>
      </c>
      <c r="CA20" s="351" t="b">
        <f>IF(G20=Data!$EU$2,Data!$ES$2,IF(G20=Data!$EU$3,Data!$ER$2, IF(G20=Data!$EU$5,Data!$ET$2, IF(G20=Data!$EU$4,Data!$EQ$2,IF(G20=Data!$EU$6,Data!$ER$2)))))</f>
        <v>0</v>
      </c>
      <c r="CB20" s="351" t="b">
        <f>IF(G20=Data!$EU$2,Data!$EW$2,IF(G20=Data!$EU$3,Data!$EX$2,IF(G20=Data!$EU$4,Data!$EY$2, IF(G20=Data!$EU$5,Data!$EY$2,IF(G20=Data!$EU$6,Data!$EX$2)))))</f>
        <v>0</v>
      </c>
      <c r="CC20" s="174" t="e">
        <f>VLOOKUP(M20,Data!$EJ$3:$EK$15,2,FALSE)</f>
        <v>#N/A</v>
      </c>
      <c r="CD20" s="174" t="str">
        <f>IF(J20="114mm",VLOOKUP(H20,Data!$FA$2:$FB$18,2,FALSE),"OK")</f>
        <v>OK</v>
      </c>
      <c r="CE20" s="174" t="e">
        <f t="shared" si="23"/>
        <v>#DIV/0!</v>
      </c>
      <c r="CF20" s="174" t="str">
        <f>IF(OR(AND(S20="",Q20&lt;&gt;"")),VLOOKUP(Q20,Data!$FC$2:$FD$19,2,FALSE),"")</f>
        <v/>
      </c>
      <c r="CG20" s="174" t="str">
        <f>IF(N20=Data!$BI$3,Data!$FJ$1,IF(N20=Data!$BI$4,Data!$FK$1,IF(N20=Data!$BI$5,Data!$FL$1,IF(N20=Data!$BI$6,Data!$FM$1,IF(N20=Data!$BI$7,Data!$FN$1, IF(N20=Data!$BI$8,Data!$FO$1, IF(N20=Data!$BI$9,Data!$FI$1, "")))))))</f>
        <v/>
      </c>
      <c r="CH20" s="174" t="str">
        <f>IF(SUM(--ISNUMBER(SEARCH({"z","Z"}, Q20))),"Yes","No")</f>
        <v>No</v>
      </c>
      <c r="CI20" s="174" t="str">
        <f t="shared" si="24"/>
        <v>OK</v>
      </c>
      <c r="CJ20" s="174">
        <f t="shared" si="25"/>
        <v>0</v>
      </c>
      <c r="CK20" s="174" t="e">
        <f>VLOOKUP(P20,Data!$DO$4:$DP$157,2,FALSE)</f>
        <v>#N/A</v>
      </c>
      <c r="CL20" s="174" t="e">
        <f t="shared" si="26"/>
        <v>#N/A</v>
      </c>
      <c r="CM20" s="162"/>
      <c r="CN20" s="162"/>
      <c r="CO20" s="162"/>
      <c r="CP20" s="366" t="str">
        <f t="shared" si="27"/>
        <v>OK</v>
      </c>
      <c r="CQ20" s="174" t="b">
        <f t="shared" si="28"/>
        <v>0</v>
      </c>
      <c r="CR20" s="174">
        <f t="shared" si="29"/>
        <v>0</v>
      </c>
      <c r="CS20" s="174">
        <f t="shared" si="30"/>
        <v>1</v>
      </c>
      <c r="CT20" s="174">
        <f>CQ20*CR20*CS20</f>
        <v>0</v>
      </c>
      <c r="CU20" s="162" t="e">
        <f t="shared" si="31"/>
        <v>#DIV/0!</v>
      </c>
      <c r="CV20" s="162" t="e">
        <f>VLOOKUP(H20,Data!$BD$81:$BE$111,2,FALSE)</f>
        <v>#N/A</v>
      </c>
      <c r="CW20" s="174" t="str">
        <f t="shared" si="32"/>
        <v/>
      </c>
      <c r="CX20" s="292" t="str">
        <f>IF(H20=Data!$BE$3,Data!$HQ$2, IF(H20=Data!$BE$4,Data!$HP$2, IF(H20=Data!$BE$5,Data!$HR$2, IF(H20=Data!$BE$6,Data!$HO$2))))</f>
        <v>Super WhiteNA</v>
      </c>
      <c r="CY20" s="351" t="b">
        <f>IF(H20=Data!$BH$3,Data!$HU$2, IF(H20=Data!$BH$4,Data!$HT$2, IF(H20=Data!$BH$5,Data!$HS$2)))</f>
        <v>0</v>
      </c>
      <c r="CZ20" s="351" t="b">
        <f>IF(H20=Data!$BF$3,Data!$HQ$16, IF(H20=Data!$BF$4,Data!$HP$16, IF(H20=Data!$BF$5,Data!$HR$16, IF(H20=Data!$BF$6,Data!$HO$16))))</f>
        <v>0</v>
      </c>
      <c r="DA20" s="351" t="b">
        <f>IF(G20=Data!$BC$3,'Shutters Page 1'!CW20,IF(G20=Data!$BC$4,'Shutters Page 1'!CX20,IF(G20=Data!$BC$6,'Shutters Page 1'!CY20, IF(G20=Data!$BC$5, 'Shutters Page 1'!CX20,IF(G20=Data!$BC$7,'Shutters Page 1'!CX20)))))</f>
        <v>0</v>
      </c>
      <c r="DB20" s="162" t="e">
        <f>IF(OR(AND(L20&gt;0,#REF!="")), "Error","OK")</f>
        <v>#REF!</v>
      </c>
      <c r="DC20" s="174" t="e">
        <f>IF(COUNTIF(#REF!,Data!$CX$6),"Yes","")</f>
        <v>#REF!</v>
      </c>
      <c r="DD20" s="55" t="str">
        <f t="shared" si="33"/>
        <v/>
      </c>
      <c r="DG20" s="55" t="str">
        <f>IF(N20=Data!$BI$5,"Yes",IF(N20=Data!$BI$6,"Yes","No"))</f>
        <v>No</v>
      </c>
      <c r="DH20" s="66" t="b">
        <f>IF(N20=Data!$BI$3,Data!$JB$2,IF(N20=Data!$BI$4,Data!$JC$2,IF(N20=Data!$BI$5,Data!$JD$2,IF(N20=Data!$BI$6,DI20,IF(N20=Data!$BI$7,Data!$JF$2, IF(N20=Data!$BI$8,Data!$JA$2, IF(N20=Data!$BI$9,Data!$JG$2)))))))</f>
        <v>0</v>
      </c>
      <c r="DI20" s="55" t="e">
        <f>VLOOKUP(P20,Data!$AAY$2:$ABA$44,3,FALSE)</f>
        <v>#N/A</v>
      </c>
      <c r="DK20" s="66" t="e">
        <f>VLOOKUP(P20,Data!$DO$4:$DQ$157,3,FALSE)</f>
        <v>#N/A</v>
      </c>
      <c r="DL20" s="55" t="e">
        <f t="shared" si="34"/>
        <v>#N/A</v>
      </c>
      <c r="DM20" s="55" t="e">
        <f t="shared" si="57"/>
        <v>#N/A</v>
      </c>
      <c r="DN20" s="162" t="b">
        <f>IF(Q20=Data!$BK$3,Data!$JH$2,IF(Q20=Data!$BK$4,Data!$JI$2,IF(Q20=Data!$BK$5,Data!$JJ$2,IF(Q20=Data!$BK$6,Data!$JK$2,IF(Q20=Data!$BK$7,Data!$JL$2,IF(Q20=Data!$BK$8,Data!$JM$2,IF(Q20=Data!$BK$9,Data!$JN$2,IF(Q20=Data!$BK$10,Data!$JO$2,IF(Q20=Data!$BK$11,Data!$JP$2,IF(Q20=Data!$BK$12,Data!$JQ$2,IF(Q20=Data!$BK$13,Data!$JR$2,IF(Q20=Data!$BK$14,Data!$JS$2,IF(Q20=Data!$BK$15,Data!$JT$2,IF(Q20=Data!$BK$16,Data!$JU$2,IF(Q20=Data!$BK$17,Data!$JV$2,IF(Q20=Data!$BK$18,Data!$JW$2, IF(Q20=Data!$BK$19,Data!$JX$2, IF(Q20=Data!$BK$20,Data!$JY$2, IF(Q20=Data!$BK$21,Data!$JN$2, IF(Q20=Data!$BK$22,Data!$JN$2, IF(Q20=Data!$BK$23,Data!$JN$2, IF(Q20=Data!$BK$24,Data!$JL$19))))))))))))))))))))))</f>
        <v>0</v>
      </c>
      <c r="DO20" s="55" t="str">
        <f>Data!$JH$19</f>
        <v>LRFrameAir</v>
      </c>
      <c r="DP20" s="55" t="b">
        <f>IF(G20=Data!$JH$18,'Shutters Page 1'!DO20,'Shutters Page 1'!DN20)</f>
        <v>0</v>
      </c>
      <c r="DR20" s="174" t="str">
        <f t="shared" si="58"/>
        <v/>
      </c>
      <c r="DS20" s="174" t="e">
        <f t="shared" si="59"/>
        <v>#N/A</v>
      </c>
      <c r="DT20" s="174" t="str">
        <f t="shared" si="35"/>
        <v>OK</v>
      </c>
      <c r="DU20" s="174" t="str">
        <f t="shared" si="36"/>
        <v>OK</v>
      </c>
      <c r="DV20" s="174" t="str">
        <f t="shared" si="37"/>
        <v>OK</v>
      </c>
      <c r="DW20" s="174" t="str">
        <f t="shared" si="38"/>
        <v>OK</v>
      </c>
      <c r="DX20" s="66" t="b">
        <f>IF(N20=Data!$LW$2,Data!$LX$1,IF(N20=Data!$LW$3,Data!$LY$1,IF(N20=Data!$LW$4,Data!$LZ$1,IF(N20=Data!$LW$5,Data!$MA$1,IF(N20=Data!$LW$6,Data!$MB$1,IF(N20=Data!$LW$7,Data!$MC$1, IF(N20=Data!$LW$8,Data!$MX$1)))))))</f>
        <v>0</v>
      </c>
      <c r="DY20" s="66" t="b">
        <f>IF(N20=Data!$LW$2,Data!$LX$147,IF(N20=Data!$LW$7,Data!$MC$1))</f>
        <v>0</v>
      </c>
      <c r="DZ20" s="66" t="b">
        <f>IF(G20=Data!$BC$3,'Shutters Page 1'!DX20,IF(G20=Data!$BC$5,'Shutters Page 1'!DY20))</f>
        <v>0</v>
      </c>
      <c r="EA20" s="66" t="b">
        <f>IF(E20=Data!$MD$2,Data!$ME$2, IF(E20=Data!$MD$3,Data!$MF$2, IF(E20=Data!$MD$4,Data!$MG$2)))</f>
        <v>0</v>
      </c>
      <c r="EB20" s="162" t="str">
        <f>IF(E20="MS",Data!$AK$1,IF(G20=Data!$BC$5,Data!$EJ$40,IF(G20=Data!$BC$4,Data!$EJ$20,Data!$EJ$2)))</f>
        <v>Special_Window_Timber</v>
      </c>
      <c r="EC20" s="66" t="str">
        <f>IF(OR(AND(T20="",Q20&lt;&gt;"")),VLOOKUP(Q20,Data!$FC$2:$FD$18,2,FALSE),"")</f>
        <v/>
      </c>
      <c r="ED20" s="66" t="str">
        <f>IF(OR(AND(U20="",Q20&lt;&gt;"")),VLOOKUP(Q20,Data!$FC$2:$FD$18,2,FALSE),"")</f>
        <v/>
      </c>
      <c r="EE20" s="66" t="str">
        <f>IF(OR(AND(V20="",Q20&lt;&gt;"")),VLOOKUP(Q20,Data!$FC$2:$FD$18,2,FALSE),"")</f>
        <v/>
      </c>
      <c r="EF20" s="162" t="e">
        <f>VLOOKUP(N20,Data!$MK$2:$ML$8,2,FALSE)</f>
        <v>#N/A</v>
      </c>
      <c r="EG20" s="66" t="e">
        <f>VLOOKUP(P20,Data!$DO$4:$DO$158,1,FALSE)</f>
        <v>#N/A</v>
      </c>
      <c r="EH20" s="66" t="e">
        <f t="shared" si="39"/>
        <v>#N/A</v>
      </c>
      <c r="EI20" s="55" t="str">
        <f t="shared" si="40"/>
        <v/>
      </c>
      <c r="EJ20" s="162" t="str">
        <f t="shared" si="41"/>
        <v>OK</v>
      </c>
      <c r="EK20" s="405" t="str">
        <f>Data!$JI$19</f>
        <v>TopBottomFrameAir</v>
      </c>
      <c r="EL20" s="405" t="b">
        <f>IF(G20=Data!$JH$18,EK20,EM20)</f>
        <v>0</v>
      </c>
      <c r="EM20" s="174" t="b">
        <f>IF(Q20=Data!$NN$3,Data!$NO$2, IF(Q20=Data!$NN$4,Data!$NP$2, IF(Q20=Data!$NN$5,Data!$NQ$2, IF(Q20=Data!$NN$6,Data!$NR$2, IF(Q20=Data!$NN$7,Data!$NS$2, IF(Q20=Data!$NN$8,Data!$NT$2, IF(Q20=Data!$NN$9,Data!$NU$2, IF(Q20=Data!$NN$10,Data!$NV$2, IF(Q20=Data!$NN$11,Data!$NW$2, IF(Q20=Data!$NN$12,Data!$NX$2, IF(Q20=Data!$NN$13,Data!$NY$2, IF(Q20=Data!$NN$14,Data!$NZ$2, IF(Q20=Data!$NN$15,Data!$OA$2, IF(Q20=Data!$NN$16,Data!$OB$2, IF(Q20=Data!$NN$17,Data!$OC$2, IF(Q20=Data!$NN$18,Data!$OD$2, IF(Q20=Data!$NN$19,Data!$OE$2, IF(Q20=Data!$NN$20,Data!$OG$2, IF(Q20=Data!$NN$25,Data!$NT$2, IF(Q20=Data!$NN$26,Data!$NT$2, IF(Q20=Data!$NN$27,Data!$NT$2, IF(Q20=Data!$NN$28,Data!$OH$2))))))))))))))))))))))</f>
        <v>0</v>
      </c>
      <c r="EN20" s="174" t="b">
        <f>IF(O20=$EN$7,Data!$OD$15,'Shutters Page 1'!EO20)</f>
        <v>0</v>
      </c>
      <c r="EO20" s="174" t="b">
        <f>IF(Q20=Data!$NN$3,Data!$NO$15,IF(Q20=Data!$NN$4,Data!$NP$15,IF(Q20=Data!$NN$5,Data!$NQ$15,IF(Q20=Data!$NN$6,Data!$NR$15,IF(Q20=Data!$NN$7,Data!$NS$15,IF(Q20=Data!$NN$8,Data!$NT$15,IF(Q20=Data!$NN$9,Data!$NU$15,IF(Q20=Data!$NN$10,Data!$NV$15,IF(Q20=Data!$NN$11,Data!$NW$15,IF(Q20=Data!$NN$12,Data!$NX$15,IF(Q20=Data!$NN$13,Data!$NY$15,IF(Q20=Data!$NN$14,Data!$NZ$15,IF(N20=Data!$NN$22,Data!$OA$15,IF(N20=Data!$NN$23,Data!$OB$15,IF(Q20=Data!$NN$19,Data!$OC$15, IF(Q20=Data!$NN$20,Data!$OG$15,IF(Q20=Data!$NN$25,Data!$NT$15,IF(Q20=Data!$NN$26,Data!$NT$15,IF(Q20=Data!$NN$27,Data!$NT$15,IF(Q20=Data!$NN$28,Data!$OH$15))))))))))))))))))))</f>
        <v>0</v>
      </c>
      <c r="EP20" s="406" t="str">
        <f>Data!$JI$19</f>
        <v>TopBottomFrameAir</v>
      </c>
      <c r="EQ20" s="406" t="b">
        <f>IF(G20=Data!$JH$18,EP20,EN20)</f>
        <v>0</v>
      </c>
      <c r="ER20" s="351" t="e">
        <f>MATCH(G20,Data!$CW$10:$CW$14,0)</f>
        <v>#N/A</v>
      </c>
      <c r="ES20" s="174" t="e">
        <f>MATCH(J20,Data!$CX$9:$DA$9,0)</f>
        <v>#N/A</v>
      </c>
      <c r="ET20" s="355" t="e">
        <f>INDEX(Data!$CX$10:$DA$14,'Shutters Page 1'!ER20,'Shutters Page 1'!ES20)</f>
        <v>#N/A</v>
      </c>
      <c r="EU20" s="355" t="e">
        <f>VLOOKUP(H20,Data!$BD$81:$BE$115,2,FALSE)</f>
        <v>#N/A</v>
      </c>
      <c r="EV20" s="355" t="e">
        <f>IF(EU20=Data!$BB$80,Data!$CW$20,'Shutters Page 1'!ET20)</f>
        <v>#N/A</v>
      </c>
      <c r="EW20" s="174" t="str">
        <f>IF(SUM(--ISNUMBER(SEARCH({"combo","Combo","COMBO"}, B37))),"Yes","No")</f>
        <v>No</v>
      </c>
      <c r="EX20" s="174" t="str">
        <f>IF(SUM(--ISNUMBER(SEARCH({"combo","Combo","COMBO"}, F37))),"Yes","No")</f>
        <v>No</v>
      </c>
      <c r="EY20" s="174" t="str">
        <f t="shared" si="60"/>
        <v>No</v>
      </c>
      <c r="EZ20" s="162">
        <f t="shared" si="42"/>
        <v>1</v>
      </c>
      <c r="FA20" s="162" t="e">
        <f t="shared" si="43"/>
        <v>#DIV/0!</v>
      </c>
      <c r="FB20" s="174" t="str">
        <f t="shared" si="44"/>
        <v/>
      </c>
      <c r="FC20" s="351" t="str">
        <f t="shared" si="45"/>
        <v/>
      </c>
      <c r="FD20" s="351" t="str">
        <f t="shared" si="46"/>
        <v/>
      </c>
      <c r="FE20" s="174" t="str">
        <f t="shared" si="47"/>
        <v/>
      </c>
      <c r="FF20" s="174" t="str">
        <f t="shared" si="48"/>
        <v/>
      </c>
      <c r="FG20" s="174" t="str">
        <f t="shared" si="49"/>
        <v/>
      </c>
      <c r="FH20" s="278" t="str">
        <f t="shared" si="61"/>
        <v>No</v>
      </c>
      <c r="FI20" s="351" t="e">
        <f>MATCH(G20,Data!$FH$18:$FL$18,0)</f>
        <v>#N/A</v>
      </c>
      <c r="FJ20" s="174" t="e">
        <f>MATCH(N20,Data!$FG$19:$FG$25,0)</f>
        <v>#N/A</v>
      </c>
      <c r="FK20" s="351" t="e">
        <f>INDEX(Data!$FH$19:$FL$25,'Shutters Page 1'!FJ20,'Shutters Page 1'!FI20)</f>
        <v>#N/A</v>
      </c>
      <c r="FL20" s="411" t="e">
        <f>MATCH(G20,Data!$FH$53:$FI$53,0)</f>
        <v>#N/A</v>
      </c>
      <c r="FM20" s="411" t="e">
        <f>MATCH(N20,Data!$FG$54:$FG$60,0)</f>
        <v>#N/A</v>
      </c>
      <c r="FN20" s="411" t="e">
        <f>INDEX(Data!$FH$54:$FI$60,'Shutters Page 1'!FM20,'Shutters Page 1'!FL20)</f>
        <v>#N/A</v>
      </c>
      <c r="FO20" s="411" t="e">
        <f>IF(E20=Data!$FH$35,'Shutters Page 1'!FN20,'Shutters Page 1'!FK20)</f>
        <v>#N/A</v>
      </c>
      <c r="FP20" s="351" t="e">
        <f>MATCH(G20,Data!$ME$26:$MG$26,0)</f>
        <v>#N/A</v>
      </c>
      <c r="FQ20" s="174" t="e">
        <f>MATCH(E20,Data!$MD$27:$MD$29,0)</f>
        <v>#N/A</v>
      </c>
      <c r="FR20" s="351" t="e">
        <f>INDEX(Data!$ME$27:$MG$29, 'Shutters Page 1'!FQ20, 'Shutters Page 1'!FP20)</f>
        <v>#N/A</v>
      </c>
      <c r="FS20" s="351" t="e">
        <f>MATCH(G20,Data!$AAF$1:$AAH$1,0)</f>
        <v>#N/A</v>
      </c>
      <c r="FT20" s="174" t="e">
        <f>MATCH(N20,Data!$AAE$2:$AAE$8,0)</f>
        <v>#N/A</v>
      </c>
      <c r="FU20" s="351" t="e">
        <f>INDEX(Data!$AAF$2:$AAH$8, 'Shutters Page 1'!FT20, 'Shutters Page 1'!FS20)</f>
        <v>#N/A</v>
      </c>
      <c r="FV20" s="351" t="e">
        <f>MATCH(G20,Data!$AAF$12:$AAH$12,0)</f>
        <v>#N/A</v>
      </c>
      <c r="FW20" s="174" t="e">
        <f>MATCH(N20,Data!$AAE$13:$AAE$19,0)</f>
        <v>#N/A</v>
      </c>
      <c r="FX20" s="351" t="e">
        <f>INDEX(Data!$AAF$13:$AAH$19, 'Shutters Page 1'!FW20, 'Shutters Page 1'!FV20)</f>
        <v>#N/A</v>
      </c>
      <c r="FY20" s="351" t="e">
        <f>MATCH(G20,Data!$AAK$1:$AAM$1,0)</f>
        <v>#N/A</v>
      </c>
      <c r="FZ20" s="174" t="e">
        <f>MATCH(Q20,Data!$AAJ$2,0)</f>
        <v>#N/A</v>
      </c>
      <c r="GA20" s="351" t="e">
        <f>INDEX(Data!$AAK$2:$AAM$2, 'Shutters Page 1'!FZ20, 'Shutters Page 1'!FY20)</f>
        <v>#N/A</v>
      </c>
      <c r="GB20" s="351" t="e">
        <f>MATCH(G20,Data!$AAK$12:$AAM$12,0)</f>
        <v>#N/A</v>
      </c>
      <c r="GC20" s="174" t="e">
        <f>MATCH(Q20,Data!$AAJ$13,0)</f>
        <v>#N/A</v>
      </c>
      <c r="GD20" s="351" t="e">
        <f>INDEX(Data!$AAK$13:$AAM$13, 'Shutters Page 1'!GC20, 'Shutters Page 1'!GB20)</f>
        <v>#N/A</v>
      </c>
      <c r="GE20" s="162" t="e">
        <f>VLOOKUP(H20,Data!$AAR$1:$AAS$35,2,FALSE)</f>
        <v>#N/A</v>
      </c>
      <c r="GF20" s="162" t="e">
        <f t="shared" si="50"/>
        <v>#N/A</v>
      </c>
      <c r="GG20" s="162" t="e">
        <f t="shared" si="51"/>
        <v>#N/A</v>
      </c>
      <c r="GH20" s="162" t="e">
        <f t="shared" si="52"/>
        <v>#N/A</v>
      </c>
      <c r="GI20" s="162" t="str">
        <f>IF(G20=Data!$NC$1,Data!$ND$1,Data!$NE$1)</f>
        <v>FauxwoodStile</v>
      </c>
      <c r="GL20" s="55" t="e">
        <f>VLOOKUP('Shutters Page 1'!H20,Data!$BD$81:$BE$115,2,FALSE)</f>
        <v>#N/A</v>
      </c>
      <c r="GM20" s="55" t="e">
        <f>IF(GL20=Data!$BB$80,"Yes", "No")</f>
        <v>#N/A</v>
      </c>
      <c r="GN20" s="55" t="e">
        <f>IF(GM20="Yes",Data!$EJ$57,'Shutters Page 1'!EB20)</f>
        <v>#N/A</v>
      </c>
      <c r="GQ20" s="55" t="b">
        <f>IF(G20=$GQ$6,Data!$EN$47,IF(G20='Shutters Page 1'!$GQ$7,Data!$EM$47))</f>
        <v>0</v>
      </c>
    </row>
    <row r="21" spans="1:199" ht="36.75" customHeight="1">
      <c r="A21" s="53">
        <v>13</v>
      </c>
      <c r="B21" s="17"/>
      <c r="C21" s="14"/>
      <c r="D21" s="14"/>
      <c r="E21" s="14"/>
      <c r="F21" s="10"/>
      <c r="G21" s="13"/>
      <c r="H21" s="555"/>
      <c r="I21" s="603"/>
      <c r="J21" s="14"/>
      <c r="K21" s="149" t="str">
        <f t="shared" si="0"/>
        <v/>
      </c>
      <c r="L21" s="15"/>
      <c r="M21" s="15"/>
      <c r="N21" s="15"/>
      <c r="O21" s="15"/>
      <c r="P21" s="15"/>
      <c r="Q21" s="486"/>
      <c r="R21" s="486"/>
      <c r="S21" s="13"/>
      <c r="T21" s="13"/>
      <c r="U21" s="13"/>
      <c r="V21" s="13"/>
      <c r="W21" s="15"/>
      <c r="X21" s="15"/>
      <c r="Y21" s="16"/>
      <c r="Z21" s="16"/>
      <c r="AA21" s="14"/>
      <c r="AB21" s="14"/>
      <c r="AC21" s="14"/>
      <c r="AD21" s="386"/>
      <c r="AE21" s="169" t="str">
        <f t="shared" si="1"/>
        <v/>
      </c>
      <c r="AF21" s="236"/>
      <c r="AG21" s="237"/>
      <c r="AI21" s="55">
        <f t="shared" si="2"/>
        <v>0</v>
      </c>
      <c r="AJ21" s="55">
        <f t="shared" si="3"/>
        <v>0</v>
      </c>
      <c r="AK21" s="55">
        <f>IF(P21&lt;&gt;"",VLOOKUP(P21,Data!$AAY$2:$AAZ$44,2,FALSE),0)</f>
        <v>0</v>
      </c>
      <c r="AL21" s="55" t="str">
        <f>IF(E21=Data!$BB$10,Data!$BC$10,Data!$BC$2)</f>
        <v>ShutterMaterial</v>
      </c>
      <c r="AP21" s="55" t="str">
        <f t="shared" si="53"/>
        <v>SlidingSystemNA</v>
      </c>
      <c r="AV21" s="114" t="str">
        <f t="shared" si="4"/>
        <v/>
      </c>
      <c r="AW21" s="66" t="e">
        <f t="shared" si="5"/>
        <v>#N/A</v>
      </c>
      <c r="AX21" s="174" t="e">
        <f>VLOOKUP(Q21,Data!$MI$2:$MJ$4,2,FALSE)</f>
        <v>#N/A</v>
      </c>
      <c r="AY21" s="174" t="e">
        <f t="shared" si="6"/>
        <v>#N/A</v>
      </c>
      <c r="AZ21" s="174" t="e">
        <f>VLOOKUP(N21,Data!$BI$24:$BJ$30,2,FALSE)</f>
        <v>#N/A</v>
      </c>
      <c r="BA21" s="160" t="b">
        <f>IF(G21=Data!$BO$2,Data!$BS$2, IF('Shutters Page 1'!G21=Data!$BP$2,Data!$BT$2, IF('Shutters Page 1'!G21=Data!$BQ$2,Data!$BU$2)))</f>
        <v>0</v>
      </c>
      <c r="BB21" s="361" t="str">
        <f t="shared" si="7"/>
        <v>No</v>
      </c>
      <c r="BC21" s="160" t="e">
        <f t="shared" si="8"/>
        <v>#DIV/0!</v>
      </c>
      <c r="BD21" s="361" t="e">
        <f t="shared" si="9"/>
        <v>#DIV/0!</v>
      </c>
      <c r="BE21" s="160" t="e">
        <f t="shared" si="10"/>
        <v>#DIV/0!</v>
      </c>
      <c r="BF21" s="361" t="str">
        <f t="shared" si="11"/>
        <v>No</v>
      </c>
      <c r="BG21" s="160" t="str">
        <f t="shared" si="12"/>
        <v>NotRequired</v>
      </c>
      <c r="BH21" s="160" t="b">
        <f>IF(G21=Data!$BO$2,Data!$CM$2, IF('Shutters Page 1'!G21=Data!$BP$2,Data!$CN$2, IF('Shutters Page 1'!G21=Data!$BQ$2,Data!$CO$2)))</f>
        <v>0</v>
      </c>
      <c r="BI21" s="160" t="e">
        <f t="shared" si="54"/>
        <v>#DIV/0!</v>
      </c>
      <c r="BJ21" s="161" t="str">
        <f t="shared" si="13"/>
        <v>NoHighlight</v>
      </c>
      <c r="BK21" s="361" t="str">
        <f t="shared" si="14"/>
        <v>FauxwoodRPNo</v>
      </c>
      <c r="BL21" s="161" t="str">
        <f>IF(SUM(--ISNUMBER( SEARCH({"t","T"},P21))),"Yes","No")</f>
        <v>No</v>
      </c>
      <c r="BM21" s="161" t="str">
        <f t="shared" si="15"/>
        <v>OK</v>
      </c>
      <c r="BN21" s="161" t="str">
        <f t="shared" si="16"/>
        <v>OK</v>
      </c>
      <c r="BO21" s="161" t="str">
        <f t="shared" si="17"/>
        <v>OK</v>
      </c>
      <c r="BP21" s="161" t="e">
        <f>IF(OR(AND(F21&gt;1,#REF!="L",#REF!="l"),AND(F21&gt;1,#REF!="R",#REF!="r"),AND(F21&gt;2,#REF!="LR",#REF!="lr")), "Error","OK")</f>
        <v>#REF!</v>
      </c>
      <c r="BQ21" s="161" t="str">
        <f t="shared" si="18"/>
        <v>FauxwoodAINo</v>
      </c>
      <c r="BR21" s="161" t="str">
        <f>IF(SUM(--ISNUMBER(SEARCH({"combo","Combo","COMBO"}, B38))),"Yes","No")</f>
        <v>No</v>
      </c>
      <c r="BS21" s="161" t="str">
        <f t="shared" si="55"/>
        <v>No</v>
      </c>
      <c r="BT21" s="161" t="str">
        <f>IF(SUM(--ISNUMBER( SEARCH({"c","C","b","B"},#REF!))),"Yes","No")</f>
        <v>No</v>
      </c>
      <c r="BU21" s="162">
        <f t="shared" si="19"/>
        <v>0</v>
      </c>
      <c r="BV21" s="174" t="str">
        <f>IF(N21=Data!$BI$3,Data!$DR$3,IF(N21=Data!$BI$4,Data!$DS$3,IF(N21=Data!$BI$5,Data!$DT$3,IF(N21=Data!$BI$6,Data!$DU$3,IF(N21=Data!$BI$7,Data!$DV$3, IF(N21=Data!$BI$8,Data!$DX$3, IF(N21=Data!$BI$9,Data!$DW$3, "")))))))</f>
        <v/>
      </c>
      <c r="BW21" s="174" t="str">
        <f>IF(N21=Data!$BI$3,Data!$DY$3,IF(N21=Data!$BI$4,Data!$DZ$3,IF(N21=Data!$BI$5,Data!$EA$3,IF(N21=Data!$BI$6,Data!$EB$3,IF(N21=Data!$BI$7,Data!$EC$3,IF(N21=Data!$BI$8,Data!$EE$3, IF(N21=Data!$BI$9,Data!$ED$3,"")))))))</f>
        <v/>
      </c>
      <c r="BX21" s="162">
        <f t="shared" si="20"/>
        <v>0</v>
      </c>
      <c r="BY21" s="162">
        <f t="shared" si="21"/>
        <v>0</v>
      </c>
      <c r="BZ21" s="174" t="e">
        <f t="shared" si="22"/>
        <v>#DIV/0!</v>
      </c>
      <c r="CA21" s="351" t="b">
        <f>IF(G21=Data!$EU$2,Data!$ES$2,IF(G21=Data!$EU$3,Data!$ER$2, IF(G21=Data!$EU$5,Data!$ET$2, IF(G21=Data!$EU$4,Data!$EQ$2,IF(G21=Data!$EU$6,Data!$ER$2)))))</f>
        <v>0</v>
      </c>
      <c r="CB21" s="351" t="b">
        <f>IF(G21=Data!$EU$2,Data!$EW$2,IF(G21=Data!$EU$3,Data!$EX$2,IF(G21=Data!$EU$4,Data!$EY$2, IF(G21=Data!$EU$5,Data!$EY$2,IF(G21=Data!$EU$6,Data!$EX$2)))))</f>
        <v>0</v>
      </c>
      <c r="CC21" s="174" t="e">
        <f>VLOOKUP(M21,Data!$EJ$3:$EK$15,2,FALSE)</f>
        <v>#N/A</v>
      </c>
      <c r="CD21" s="174" t="str">
        <f>IF(J21="114mm",VLOOKUP(H21,Data!$FA$2:$FB$18,2,FALSE),"OK")</f>
        <v>OK</v>
      </c>
      <c r="CE21" s="174" t="e">
        <f t="shared" si="23"/>
        <v>#DIV/0!</v>
      </c>
      <c r="CF21" s="174" t="str">
        <f>IF(OR(AND(S21="",Q21&lt;&gt;"")),VLOOKUP(Q21,Data!$FC$2:$FD$19,2,FALSE),"")</f>
        <v/>
      </c>
      <c r="CG21" s="174" t="str">
        <f>IF(N21=Data!$BI$3,Data!$FJ$1,IF(N21=Data!$BI$4,Data!$FK$1,IF(N21=Data!$BI$5,Data!$FL$1,IF(N21=Data!$BI$6,Data!$FM$1,IF(N21=Data!$BI$7,Data!$FN$1, IF(N21=Data!$BI$8,Data!$FO$1, IF(N21=Data!$BI$9,Data!$FI$1, "")))))))</f>
        <v/>
      </c>
      <c r="CH21" s="174" t="str">
        <f>IF(SUM(--ISNUMBER(SEARCH({"z","Z"}, Q21))),"Yes","No")</f>
        <v>No</v>
      </c>
      <c r="CI21" s="174" t="str">
        <f t="shared" si="24"/>
        <v>OK</v>
      </c>
      <c r="CJ21" s="174">
        <f t="shared" si="25"/>
        <v>0</v>
      </c>
      <c r="CK21" s="174" t="e">
        <f>VLOOKUP(P21,Data!$DO$4:$DP$157,2,FALSE)</f>
        <v>#N/A</v>
      </c>
      <c r="CL21" s="174" t="e">
        <f t="shared" si="26"/>
        <v>#N/A</v>
      </c>
      <c r="CM21" s="162"/>
      <c r="CN21" s="162"/>
      <c r="CO21" s="162"/>
      <c r="CP21" s="366" t="str">
        <f t="shared" si="27"/>
        <v>OK</v>
      </c>
      <c r="CQ21" s="174" t="b">
        <f t="shared" si="28"/>
        <v>0</v>
      </c>
      <c r="CR21" s="174">
        <f t="shared" si="29"/>
        <v>0</v>
      </c>
      <c r="CS21" s="174">
        <f t="shared" si="30"/>
        <v>1</v>
      </c>
      <c r="CT21" s="174">
        <f t="shared" ref="CT21:CT22" si="62">CQ21*CR21*CS21</f>
        <v>0</v>
      </c>
      <c r="CU21" s="162" t="e">
        <f t="shared" si="31"/>
        <v>#DIV/0!</v>
      </c>
      <c r="CV21" s="162" t="e">
        <f>VLOOKUP(H21,Data!$BD$81:$BE$111,2,FALSE)</f>
        <v>#N/A</v>
      </c>
      <c r="CW21" s="174" t="str">
        <f t="shared" si="32"/>
        <v/>
      </c>
      <c r="CX21" s="292" t="str">
        <f>IF(H21=Data!$BE$3,Data!$HQ$2, IF(H21=Data!$BE$4,Data!$HP$2, IF(H21=Data!$BE$5,Data!$HR$2, IF(H21=Data!$BE$6,Data!$HO$2))))</f>
        <v>Super WhiteNA</v>
      </c>
      <c r="CY21" s="351" t="b">
        <f>IF(H21=Data!$BH$3,Data!$HU$2, IF(H21=Data!$BH$4,Data!$HT$2, IF(H21=Data!$BH$5,Data!$HS$2)))</f>
        <v>0</v>
      </c>
      <c r="CZ21" s="351" t="b">
        <f>IF(H21=Data!$BF$3,Data!$HQ$16, IF(H21=Data!$BF$4,Data!$HP$16, IF(H21=Data!$BF$5,Data!$HR$16, IF(H21=Data!$BF$6,Data!$HO$16))))</f>
        <v>0</v>
      </c>
      <c r="DA21" s="351" t="b">
        <f>IF(G21=Data!$BC$3,'Shutters Page 1'!CW21,IF(G21=Data!$BC$4,'Shutters Page 1'!CX21,IF(G21=Data!$BC$6,'Shutters Page 1'!CY21, IF(G21=Data!$BC$5, 'Shutters Page 1'!CX21,IF(G21=Data!$BC$7,'Shutters Page 1'!CX21)))))</f>
        <v>0</v>
      </c>
      <c r="DB21" s="162" t="e">
        <f>IF(OR(AND(L21&gt;0,#REF!="")), "Error","OK")</f>
        <v>#REF!</v>
      </c>
      <c r="DC21" s="174" t="e">
        <f>IF(COUNTIF(#REF!,Data!$CX$6),"Yes","")</f>
        <v>#REF!</v>
      </c>
      <c r="DD21" s="55" t="str">
        <f t="shared" si="33"/>
        <v/>
      </c>
      <c r="DG21" s="55" t="str">
        <f>IF(N21=Data!$BI$5,"Yes",IF(N21=Data!$BI$6,"Yes","No"))</f>
        <v>No</v>
      </c>
      <c r="DH21" s="66" t="b">
        <f>IF(N21=Data!$BI$3,Data!$JB$2,IF(N21=Data!$BI$4,Data!$JC$2,IF(N21=Data!$BI$5,Data!$JD$2,IF(N21=Data!$BI$6,DI21,IF(N21=Data!$BI$7,Data!$JF$2, IF(N21=Data!$BI$8,Data!$JA$2, IF(N21=Data!$BI$9,Data!$JG$2)))))))</f>
        <v>0</v>
      </c>
      <c r="DI21" s="55" t="e">
        <f>VLOOKUP(P21,Data!$AAY$2:$ABA$44,3,FALSE)</f>
        <v>#N/A</v>
      </c>
      <c r="DK21" s="66" t="e">
        <f>VLOOKUP(P21,Data!$DO$4:$DQ$157,3,FALSE)</f>
        <v>#N/A</v>
      </c>
      <c r="DL21" s="55" t="e">
        <f t="shared" si="34"/>
        <v>#N/A</v>
      </c>
      <c r="DM21" s="55" t="e">
        <f t="shared" si="57"/>
        <v>#N/A</v>
      </c>
      <c r="DN21" s="162" t="b">
        <f>IF(Q21=Data!$BK$3,Data!$JH$2,IF(Q21=Data!$BK$4,Data!$JI$2,IF(Q21=Data!$BK$5,Data!$JJ$2,IF(Q21=Data!$BK$6,Data!$JK$2,IF(Q21=Data!$BK$7,Data!$JL$2,IF(Q21=Data!$BK$8,Data!$JM$2,IF(Q21=Data!$BK$9,Data!$JN$2,IF(Q21=Data!$BK$10,Data!$JO$2,IF(Q21=Data!$BK$11,Data!$JP$2,IF(Q21=Data!$BK$12,Data!$JQ$2,IF(Q21=Data!$BK$13,Data!$JR$2,IF(Q21=Data!$BK$14,Data!$JS$2,IF(Q21=Data!$BK$15,Data!$JT$2,IF(Q21=Data!$BK$16,Data!$JU$2,IF(Q21=Data!$BK$17,Data!$JV$2,IF(Q21=Data!$BK$18,Data!$JW$2, IF(Q21=Data!$BK$19,Data!$JX$2, IF(Q21=Data!$BK$20,Data!$JY$2, IF(Q21=Data!$BK$21,Data!$JN$2, IF(Q21=Data!$BK$22,Data!$JN$2, IF(Q21=Data!$BK$23,Data!$JN$2, IF(Q21=Data!$BK$24,Data!$JL$19))))))))))))))))))))))</f>
        <v>0</v>
      </c>
      <c r="DO21" s="55" t="str">
        <f>Data!$JH$19</f>
        <v>LRFrameAir</v>
      </c>
      <c r="DP21" s="55" t="b">
        <f>IF(G21=Data!$JH$18,'Shutters Page 1'!DO21,'Shutters Page 1'!DN21)</f>
        <v>0</v>
      </c>
      <c r="DR21" s="174" t="str">
        <f t="shared" si="58"/>
        <v/>
      </c>
      <c r="DS21" s="174" t="e">
        <f t="shared" si="59"/>
        <v>#N/A</v>
      </c>
      <c r="DT21" s="174" t="str">
        <f t="shared" si="35"/>
        <v>OK</v>
      </c>
      <c r="DU21" s="174" t="str">
        <f t="shared" si="36"/>
        <v>OK</v>
      </c>
      <c r="DV21" s="174" t="str">
        <f t="shared" si="37"/>
        <v>OK</v>
      </c>
      <c r="DW21" s="174" t="str">
        <f t="shared" si="38"/>
        <v>OK</v>
      </c>
      <c r="DX21" s="66" t="b">
        <f>IF(N21=Data!$LW$2,Data!$LX$1,IF(N21=Data!$LW$3,Data!$LY$1,IF(N21=Data!$LW$4,Data!$LZ$1,IF(N21=Data!$LW$5,Data!$MA$1,IF(N21=Data!$LW$6,Data!$MB$1,IF(N21=Data!$LW$7,Data!$MC$1, IF(N21=Data!$LW$8,Data!$MX$1)))))))</f>
        <v>0</v>
      </c>
      <c r="DY21" s="66" t="b">
        <f>IF(N21=Data!$LW$2,Data!$LX$147,IF(N21=Data!$LW$7,Data!$MC$1))</f>
        <v>0</v>
      </c>
      <c r="DZ21" s="66" t="b">
        <f>IF(G21=Data!$BC$3,'Shutters Page 1'!DX21,IF(G21=Data!$BC$5,'Shutters Page 1'!DY21))</f>
        <v>0</v>
      </c>
      <c r="EA21" s="66" t="b">
        <f>IF(E21=Data!$MD$2,Data!$ME$2, IF(E21=Data!$MD$3,Data!$MF$2, IF(E21=Data!$MD$4,Data!$MG$2)))</f>
        <v>0</v>
      </c>
      <c r="EB21" s="162" t="str">
        <f>IF(E21="MS",Data!$AK$1,IF(G21=Data!$BC$5,Data!$EJ$40,IF(G21=Data!$BC$4,Data!$EJ$20,Data!$EJ$2)))</f>
        <v>Special_Window_Timber</v>
      </c>
      <c r="EC21" s="66" t="str">
        <f>IF(OR(AND(T21="",Q21&lt;&gt;"")),VLOOKUP(Q21,Data!$FC$2:$FD$18,2,FALSE),"")</f>
        <v/>
      </c>
      <c r="ED21" s="66" t="str">
        <f>IF(OR(AND(U21="",Q21&lt;&gt;"")),VLOOKUP(Q21,Data!$FC$2:$FD$18,2,FALSE),"")</f>
        <v/>
      </c>
      <c r="EE21" s="66" t="str">
        <f>IF(OR(AND(V21="",Q21&lt;&gt;"")),VLOOKUP(Q21,Data!$FC$2:$FD$18,2,FALSE),"")</f>
        <v/>
      </c>
      <c r="EF21" s="162" t="e">
        <f>VLOOKUP(N21,Data!$MK$2:$ML$8,2,FALSE)</f>
        <v>#N/A</v>
      </c>
      <c r="EG21" s="66" t="e">
        <f>VLOOKUP(P21,Data!$DO$4:$DO$158,1,FALSE)</f>
        <v>#N/A</v>
      </c>
      <c r="EH21" s="66" t="e">
        <f t="shared" si="39"/>
        <v>#N/A</v>
      </c>
      <c r="EI21" s="55" t="str">
        <f t="shared" si="40"/>
        <v/>
      </c>
      <c r="EJ21" s="162" t="str">
        <f t="shared" si="41"/>
        <v>OK</v>
      </c>
      <c r="EK21" s="405" t="str">
        <f>Data!$JI$19</f>
        <v>TopBottomFrameAir</v>
      </c>
      <c r="EL21" s="405" t="b">
        <f>IF(G21=Data!$JH$18,EK21,EM21)</f>
        <v>0</v>
      </c>
      <c r="EM21" s="174" t="b">
        <f>IF(Q21=Data!$NN$3,Data!$NO$2, IF(Q21=Data!$NN$4,Data!$NP$2, IF(Q21=Data!$NN$5,Data!$NQ$2, IF(Q21=Data!$NN$6,Data!$NR$2, IF(Q21=Data!$NN$7,Data!$NS$2, IF(Q21=Data!$NN$8,Data!$NT$2, IF(Q21=Data!$NN$9,Data!$NU$2, IF(Q21=Data!$NN$10,Data!$NV$2, IF(Q21=Data!$NN$11,Data!$NW$2, IF(Q21=Data!$NN$12,Data!$NX$2, IF(Q21=Data!$NN$13,Data!$NY$2, IF(Q21=Data!$NN$14,Data!$NZ$2, IF(Q21=Data!$NN$15,Data!$OA$2, IF(Q21=Data!$NN$16,Data!$OB$2, IF(Q21=Data!$NN$17,Data!$OC$2, IF(Q21=Data!$NN$18,Data!$OD$2, IF(Q21=Data!$NN$19,Data!$OE$2, IF(Q21=Data!$NN$20,Data!$OG$2, IF(Q21=Data!$NN$25,Data!$NT$2, IF(Q21=Data!$NN$26,Data!$NT$2, IF(Q21=Data!$NN$27,Data!$NT$2, IF(Q21=Data!$NN$28,Data!$OH$2))))))))))))))))))))))</f>
        <v>0</v>
      </c>
      <c r="EN21" s="174" t="b">
        <f>IF(O21=$EN$7,Data!$OD$15,'Shutters Page 1'!EO21)</f>
        <v>0</v>
      </c>
      <c r="EO21" s="174" t="b">
        <f>IF(Q21=Data!$NN$3,Data!$NO$15,IF(Q21=Data!$NN$4,Data!$NP$15,IF(Q21=Data!$NN$5,Data!$NQ$15,IF(Q21=Data!$NN$6,Data!$NR$15,IF(Q21=Data!$NN$7,Data!$NS$15,IF(Q21=Data!$NN$8,Data!$NT$15,IF(Q21=Data!$NN$9,Data!$NU$15,IF(Q21=Data!$NN$10,Data!$NV$15,IF(Q21=Data!$NN$11,Data!$NW$15,IF(Q21=Data!$NN$12,Data!$NX$15,IF(Q21=Data!$NN$13,Data!$NY$15,IF(Q21=Data!$NN$14,Data!$NZ$15,IF(N21=Data!$NN$22,Data!$OA$15,IF(N21=Data!$NN$23,Data!$OB$15,IF(Q21=Data!$NN$19,Data!$OC$15, IF(Q21=Data!$NN$20,Data!$OG$15,IF(Q21=Data!$NN$25,Data!$NT$15,IF(Q21=Data!$NN$26,Data!$NT$15,IF(Q21=Data!$NN$27,Data!$NT$15,IF(Q21=Data!$NN$28,Data!$OH$15))))))))))))))))))))</f>
        <v>0</v>
      </c>
      <c r="EP21" s="406" t="str">
        <f>Data!$JI$19</f>
        <v>TopBottomFrameAir</v>
      </c>
      <c r="EQ21" s="406" t="b">
        <f>IF(G21=Data!$JH$18,EP21,EN21)</f>
        <v>0</v>
      </c>
      <c r="ER21" s="351" t="e">
        <f>MATCH(G21,Data!$CW$10:$CW$14,0)</f>
        <v>#N/A</v>
      </c>
      <c r="ES21" s="174" t="e">
        <f>MATCH(J21,Data!$CX$9:$DA$9,0)</f>
        <v>#N/A</v>
      </c>
      <c r="ET21" s="355" t="e">
        <f>INDEX(Data!$CX$10:$DA$14,'Shutters Page 1'!ER21,'Shutters Page 1'!ES21)</f>
        <v>#N/A</v>
      </c>
      <c r="EU21" s="355" t="e">
        <f>VLOOKUP(H21,Data!$BD$81:$BE$115,2,FALSE)</f>
        <v>#N/A</v>
      </c>
      <c r="EV21" s="355" t="e">
        <f>IF(EU21=Data!$BB$80,Data!$CW$20,'Shutters Page 1'!ET21)</f>
        <v>#N/A</v>
      </c>
      <c r="EW21" s="174" t="str">
        <f>IF(SUM(--ISNUMBER(SEARCH({"combo","Combo","COMBO"}, B38))),"Yes","No")</f>
        <v>No</v>
      </c>
      <c r="EX21" s="174" t="str">
        <f>IF(SUM(--ISNUMBER(SEARCH({"combo","Combo","COMBO"}, F38))),"Yes","No")</f>
        <v>No</v>
      </c>
      <c r="EY21" s="174" t="str">
        <f t="shared" si="60"/>
        <v>No</v>
      </c>
      <c r="EZ21" s="162">
        <f t="shared" si="42"/>
        <v>1</v>
      </c>
      <c r="FA21" s="162" t="e">
        <f t="shared" si="43"/>
        <v>#DIV/0!</v>
      </c>
      <c r="FB21" s="174" t="str">
        <f t="shared" si="44"/>
        <v/>
      </c>
      <c r="FC21" s="351" t="str">
        <f t="shared" si="45"/>
        <v/>
      </c>
      <c r="FD21" s="351" t="str">
        <f t="shared" si="46"/>
        <v/>
      </c>
      <c r="FE21" s="174" t="str">
        <f t="shared" si="47"/>
        <v/>
      </c>
      <c r="FF21" s="174" t="str">
        <f t="shared" si="48"/>
        <v/>
      </c>
      <c r="FG21" s="174" t="str">
        <f t="shared" si="49"/>
        <v/>
      </c>
      <c r="FH21" s="278" t="str">
        <f t="shared" si="61"/>
        <v>No</v>
      </c>
      <c r="FI21" s="351" t="e">
        <f>MATCH(G21,Data!$FH$18:$FL$18,0)</f>
        <v>#N/A</v>
      </c>
      <c r="FJ21" s="174" t="e">
        <f>MATCH(N21,Data!$FG$19:$FG$25,0)</f>
        <v>#N/A</v>
      </c>
      <c r="FK21" s="351" t="e">
        <f>INDEX(Data!$FH$19:$FL$25,'Shutters Page 1'!FJ21,'Shutters Page 1'!FI21)</f>
        <v>#N/A</v>
      </c>
      <c r="FL21" s="411" t="e">
        <f>MATCH(G21,Data!$FH$53:$FI$53,0)</f>
        <v>#N/A</v>
      </c>
      <c r="FM21" s="411" t="e">
        <f>MATCH(N21,Data!$FG$54:$FG$60,0)</f>
        <v>#N/A</v>
      </c>
      <c r="FN21" s="411" t="e">
        <f>INDEX(Data!$FH$54:$FI$60,'Shutters Page 1'!FM21,'Shutters Page 1'!FL21)</f>
        <v>#N/A</v>
      </c>
      <c r="FO21" s="411" t="e">
        <f>IF(E21=Data!$FH$35,'Shutters Page 1'!FN21,'Shutters Page 1'!FK21)</f>
        <v>#N/A</v>
      </c>
      <c r="FP21" s="351" t="e">
        <f>MATCH(G21,Data!$ME$26:$MG$26,0)</f>
        <v>#N/A</v>
      </c>
      <c r="FQ21" s="174" t="e">
        <f>MATCH(E21,Data!$MD$27:$MD$29,0)</f>
        <v>#N/A</v>
      </c>
      <c r="FR21" s="351" t="e">
        <f>INDEX(Data!$ME$27:$MG$29, 'Shutters Page 1'!FQ21, 'Shutters Page 1'!FP21)</f>
        <v>#N/A</v>
      </c>
      <c r="FS21" s="351" t="e">
        <f>MATCH(G21,Data!$AAF$1:$AAH$1,0)</f>
        <v>#N/A</v>
      </c>
      <c r="FT21" s="174" t="e">
        <f>MATCH(N21,Data!$AAE$2:$AAE$8,0)</f>
        <v>#N/A</v>
      </c>
      <c r="FU21" s="351" t="e">
        <f>INDEX(Data!$AAF$2:$AAH$8, 'Shutters Page 1'!FT21, 'Shutters Page 1'!FS21)</f>
        <v>#N/A</v>
      </c>
      <c r="FV21" s="351" t="e">
        <f>MATCH(G21,Data!$AAF$12:$AAH$12,0)</f>
        <v>#N/A</v>
      </c>
      <c r="FW21" s="174" t="e">
        <f>MATCH(N21,Data!$AAE$13:$AAE$19,0)</f>
        <v>#N/A</v>
      </c>
      <c r="FX21" s="351" t="e">
        <f>INDEX(Data!$AAF$13:$AAH$19, 'Shutters Page 1'!FW21, 'Shutters Page 1'!FV21)</f>
        <v>#N/A</v>
      </c>
      <c r="FY21" s="351" t="e">
        <f>MATCH(G21,Data!$AAK$1:$AAM$1,0)</f>
        <v>#N/A</v>
      </c>
      <c r="FZ21" s="174" t="e">
        <f>MATCH(Q21,Data!$AAJ$2,0)</f>
        <v>#N/A</v>
      </c>
      <c r="GA21" s="351" t="e">
        <f>INDEX(Data!$AAK$2:$AAM$2, 'Shutters Page 1'!FZ21, 'Shutters Page 1'!FY21)</f>
        <v>#N/A</v>
      </c>
      <c r="GB21" s="351" t="e">
        <f>MATCH(G21,Data!$AAK$12:$AAM$12,0)</f>
        <v>#N/A</v>
      </c>
      <c r="GC21" s="174" t="e">
        <f>MATCH(Q21,Data!$AAJ$13,0)</f>
        <v>#N/A</v>
      </c>
      <c r="GD21" s="351" t="e">
        <f>INDEX(Data!$AAK$13:$AAM$13, 'Shutters Page 1'!GC21, 'Shutters Page 1'!GB21)</f>
        <v>#N/A</v>
      </c>
      <c r="GE21" s="162" t="e">
        <f>VLOOKUP(H21,Data!$AAR$1:$AAS$35,2,FALSE)</f>
        <v>#N/A</v>
      </c>
      <c r="GF21" s="162" t="e">
        <f t="shared" si="50"/>
        <v>#N/A</v>
      </c>
      <c r="GG21" s="162" t="e">
        <f t="shared" si="51"/>
        <v>#N/A</v>
      </c>
      <c r="GH21" s="162" t="e">
        <f t="shared" si="52"/>
        <v>#N/A</v>
      </c>
      <c r="GI21" s="162" t="str">
        <f>IF(G21=Data!$NC$1,Data!$ND$1,Data!$NE$1)</f>
        <v>FauxwoodStile</v>
      </c>
      <c r="GL21" s="55" t="e">
        <f>VLOOKUP('Shutters Page 1'!H21,Data!$BD$81:$BE$115,2,FALSE)</f>
        <v>#N/A</v>
      </c>
      <c r="GM21" s="55" t="e">
        <f>IF(GL21=Data!$BB$80,"Yes", "No")</f>
        <v>#N/A</v>
      </c>
      <c r="GN21" s="55" t="e">
        <f>IF(GM21="Yes",Data!$EJ$57,'Shutters Page 1'!EB21)</f>
        <v>#N/A</v>
      </c>
      <c r="GQ21" s="55" t="b">
        <f>IF(G21=$GQ$6,Data!$EN$47,IF(G21='Shutters Page 1'!$GQ$7,Data!$EM$47))</f>
        <v>0</v>
      </c>
    </row>
    <row r="22" spans="1:199" ht="36.75" customHeight="1">
      <c r="A22" s="53">
        <v>14</v>
      </c>
      <c r="B22" s="17"/>
      <c r="C22" s="14"/>
      <c r="D22" s="14"/>
      <c r="E22" s="14"/>
      <c r="F22" s="10"/>
      <c r="G22" s="13"/>
      <c r="H22" s="555"/>
      <c r="I22" s="603"/>
      <c r="J22" s="14"/>
      <c r="K22" s="149" t="str">
        <f t="shared" si="0"/>
        <v/>
      </c>
      <c r="L22" s="15"/>
      <c r="M22" s="15"/>
      <c r="N22" s="15"/>
      <c r="O22" s="15"/>
      <c r="P22" s="15"/>
      <c r="Q22" s="486"/>
      <c r="R22" s="486"/>
      <c r="S22" s="13"/>
      <c r="T22" s="13"/>
      <c r="U22" s="13"/>
      <c r="V22" s="13"/>
      <c r="W22" s="15"/>
      <c r="X22" s="15"/>
      <c r="Y22" s="16"/>
      <c r="Z22" s="16"/>
      <c r="AA22" s="14"/>
      <c r="AB22" s="14"/>
      <c r="AC22" s="14"/>
      <c r="AD22" s="386"/>
      <c r="AE22" s="169" t="str">
        <f t="shared" si="1"/>
        <v/>
      </c>
      <c r="AF22" s="236"/>
      <c r="AG22" s="237"/>
      <c r="AI22" s="55">
        <f t="shared" si="2"/>
        <v>0</v>
      </c>
      <c r="AJ22" s="55">
        <f t="shared" si="3"/>
        <v>0</v>
      </c>
      <c r="AK22" s="55">
        <f>IF(P22&lt;&gt;"",VLOOKUP(P22,Data!$AAY$2:$AAZ$44,2,FALSE),0)</f>
        <v>0</v>
      </c>
      <c r="AL22" s="55" t="str">
        <f>IF(E22=Data!$BB$10,Data!$BC$10,Data!$BC$2)</f>
        <v>ShutterMaterial</v>
      </c>
      <c r="AP22" s="55" t="str">
        <f t="shared" si="53"/>
        <v>SlidingSystemNA</v>
      </c>
      <c r="AV22" s="114" t="str">
        <f t="shared" si="4"/>
        <v/>
      </c>
      <c r="AW22" s="66" t="e">
        <f t="shared" si="5"/>
        <v>#N/A</v>
      </c>
      <c r="AX22" s="174" t="e">
        <f>VLOOKUP(Q22,Data!$MI$2:$MJ$4,2,FALSE)</f>
        <v>#N/A</v>
      </c>
      <c r="AY22" s="174" t="e">
        <f t="shared" si="6"/>
        <v>#N/A</v>
      </c>
      <c r="AZ22" s="174" t="e">
        <f>VLOOKUP(N22,Data!$BI$24:$BJ$30,2,FALSE)</f>
        <v>#N/A</v>
      </c>
      <c r="BA22" s="160" t="b">
        <f>IF(G22=Data!$BO$2,Data!$BS$2, IF('Shutters Page 1'!G22=Data!$BP$2,Data!$BT$2, IF('Shutters Page 1'!G22=Data!$BQ$2,Data!$BU$2)))</f>
        <v>0</v>
      </c>
      <c r="BB22" s="361" t="str">
        <f t="shared" si="7"/>
        <v>No</v>
      </c>
      <c r="BC22" s="160" t="e">
        <f t="shared" si="8"/>
        <v>#DIV/0!</v>
      </c>
      <c r="BD22" s="361" t="e">
        <f t="shared" si="9"/>
        <v>#DIV/0!</v>
      </c>
      <c r="BE22" s="160" t="e">
        <f t="shared" si="10"/>
        <v>#DIV/0!</v>
      </c>
      <c r="BF22" s="361" t="str">
        <f t="shared" si="11"/>
        <v>No</v>
      </c>
      <c r="BG22" s="160" t="str">
        <f t="shared" si="12"/>
        <v>NotRequired</v>
      </c>
      <c r="BH22" s="160" t="b">
        <f>IF(G22=Data!$BO$2,Data!$CM$2, IF('Shutters Page 1'!G22=Data!$BP$2,Data!$CN$2, IF('Shutters Page 1'!G22=Data!$BQ$2,Data!$CO$2)))</f>
        <v>0</v>
      </c>
      <c r="BI22" s="160" t="e">
        <f t="shared" si="54"/>
        <v>#DIV/0!</v>
      </c>
      <c r="BJ22" s="161" t="str">
        <f t="shared" si="13"/>
        <v>NoHighlight</v>
      </c>
      <c r="BK22" s="361" t="str">
        <f t="shared" si="14"/>
        <v>FauxwoodRPNo</v>
      </c>
      <c r="BL22" s="161" t="str">
        <f>IF(SUM(--ISNUMBER( SEARCH({"t","T"},P22))),"Yes","No")</f>
        <v>No</v>
      </c>
      <c r="BM22" s="161" t="str">
        <f t="shared" si="15"/>
        <v>OK</v>
      </c>
      <c r="BN22" s="161" t="str">
        <f t="shared" si="16"/>
        <v>OK</v>
      </c>
      <c r="BO22" s="161" t="str">
        <f t="shared" si="17"/>
        <v>OK</v>
      </c>
      <c r="BP22" s="161" t="e">
        <f>IF(OR(AND(F22&gt;1,#REF!="L",#REF!="l"),AND(F22&gt;1,#REF!="R",#REF!="r"),AND(F22&gt;2,#REF!="LR",#REF!="lr")), "Error","OK")</f>
        <v>#REF!</v>
      </c>
      <c r="BQ22" s="161" t="str">
        <f t="shared" si="18"/>
        <v>FauxwoodAINo</v>
      </c>
      <c r="BR22" s="161" t="str">
        <f>IF(SUM(--ISNUMBER(SEARCH({"combo","Combo","COMBO"}, B39))),"Yes","No")</f>
        <v>No</v>
      </c>
      <c r="BS22" s="161" t="str">
        <f t="shared" si="55"/>
        <v>No</v>
      </c>
      <c r="BT22" s="161" t="str">
        <f>IF(SUM(--ISNUMBER( SEARCH({"c","C","b","B"},#REF!))),"Yes","No")</f>
        <v>No</v>
      </c>
      <c r="BU22" s="162">
        <f t="shared" si="19"/>
        <v>0</v>
      </c>
      <c r="BV22" s="174" t="str">
        <f>IF(N22=Data!$BI$3,Data!$DR$3,IF(N22=Data!$BI$4,Data!$DS$3,IF(N22=Data!$BI$5,Data!$DT$3,IF(N22=Data!$BI$6,Data!$DU$3,IF(N22=Data!$BI$7,Data!$DV$3, IF(N22=Data!$BI$8,Data!$DX$3, IF(N22=Data!$BI$9,Data!$DW$3, "")))))))</f>
        <v/>
      </c>
      <c r="BW22" s="174" t="str">
        <f>IF(N22=Data!$BI$3,Data!$DY$3,IF(N22=Data!$BI$4,Data!$DZ$3,IF(N22=Data!$BI$5,Data!$EA$3,IF(N22=Data!$BI$6,Data!$EB$3,IF(N22=Data!$BI$7,Data!$EC$3,IF(N22=Data!$BI$8,Data!$EE$3, IF(N22=Data!$BI$9,Data!$ED$3,"")))))))</f>
        <v/>
      </c>
      <c r="BX22" s="162">
        <f t="shared" si="20"/>
        <v>0</v>
      </c>
      <c r="BY22" s="162">
        <f t="shared" si="21"/>
        <v>0</v>
      </c>
      <c r="BZ22" s="174" t="e">
        <f t="shared" si="22"/>
        <v>#DIV/0!</v>
      </c>
      <c r="CA22" s="351" t="b">
        <f>IF(G22=Data!$EU$2,Data!$ES$2,IF(G22=Data!$EU$3,Data!$ER$2, IF(G22=Data!$EU$5,Data!$ET$2, IF(G22=Data!$EU$4,Data!$EQ$2,IF(G22=Data!$EU$6,Data!$ER$2)))))</f>
        <v>0</v>
      </c>
      <c r="CB22" s="351" t="b">
        <f>IF(G22=Data!$EU$2,Data!$EW$2,IF(G22=Data!$EU$3,Data!$EX$2,IF(G22=Data!$EU$4,Data!$EY$2, IF(G22=Data!$EU$5,Data!$EY$2,IF(G22=Data!$EU$6,Data!$EX$2)))))</f>
        <v>0</v>
      </c>
      <c r="CC22" s="174" t="e">
        <f>VLOOKUP(M22,Data!$EJ$3:$EK$15,2,FALSE)</f>
        <v>#N/A</v>
      </c>
      <c r="CD22" s="174" t="str">
        <f>IF(J22="114mm",VLOOKUP(H22,Data!$FA$2:$FB$18,2,FALSE),"OK")</f>
        <v>OK</v>
      </c>
      <c r="CE22" s="174" t="e">
        <f t="shared" si="23"/>
        <v>#DIV/0!</v>
      </c>
      <c r="CF22" s="174" t="str">
        <f>IF(OR(AND(S22="",Q22&lt;&gt;"")),VLOOKUP(Q22,Data!$FC$2:$FD$19,2,FALSE),"")</f>
        <v/>
      </c>
      <c r="CG22" s="174" t="str">
        <f>IF(N22=Data!$BI$3,Data!$FJ$1,IF(N22=Data!$BI$4,Data!$FK$1,IF(N22=Data!$BI$5,Data!$FL$1,IF(N22=Data!$BI$6,Data!$FM$1,IF(N22=Data!$BI$7,Data!$FN$1, IF(N22=Data!$BI$8,Data!$FO$1, IF(N22=Data!$BI$9,Data!$FI$1, "")))))))</f>
        <v/>
      </c>
      <c r="CH22" s="174" t="str">
        <f>IF(SUM(--ISNUMBER(SEARCH({"z","Z"}, Q22))),"Yes","No")</f>
        <v>No</v>
      </c>
      <c r="CI22" s="174" t="str">
        <f t="shared" si="24"/>
        <v>OK</v>
      </c>
      <c r="CJ22" s="174">
        <f t="shared" si="25"/>
        <v>0</v>
      </c>
      <c r="CK22" s="174" t="e">
        <f>VLOOKUP(P22,Data!$DO$4:$DP$157,2,FALSE)</f>
        <v>#N/A</v>
      </c>
      <c r="CL22" s="174" t="e">
        <f t="shared" si="26"/>
        <v>#N/A</v>
      </c>
      <c r="CM22" s="162"/>
      <c r="CN22" s="162"/>
      <c r="CO22" s="162"/>
      <c r="CP22" s="366" t="str">
        <f t="shared" si="27"/>
        <v>OK</v>
      </c>
      <c r="CQ22" s="174" t="b">
        <f t="shared" si="28"/>
        <v>0</v>
      </c>
      <c r="CR22" s="174">
        <f t="shared" ref="CR22" si="63">IF(E22="IN",1,IF(E22="OUT",1,0))</f>
        <v>0</v>
      </c>
      <c r="CS22" s="174">
        <f t="shared" si="30"/>
        <v>1</v>
      </c>
      <c r="CT22" s="174">
        <f t="shared" si="62"/>
        <v>0</v>
      </c>
      <c r="CU22" s="162" t="e">
        <f t="shared" si="31"/>
        <v>#DIV/0!</v>
      </c>
      <c r="CV22" s="162" t="e">
        <f>VLOOKUP(H22,Data!$BD$81:$BE$111,2,FALSE)</f>
        <v>#N/A</v>
      </c>
      <c r="CW22" s="174" t="str">
        <f t="shared" si="32"/>
        <v/>
      </c>
      <c r="CX22" s="292" t="str">
        <f>IF(H22=Data!$BE$3,Data!$HQ$2, IF(H22=Data!$BE$4,Data!$HP$2, IF(H22=Data!$BE$5,Data!$HR$2, IF(H22=Data!$BE$6,Data!$HO$2))))</f>
        <v>Super WhiteNA</v>
      </c>
      <c r="CY22" s="351" t="b">
        <f>IF(H22=Data!$BH$3,Data!$HU$2, IF(H22=Data!$BH$4,Data!$HT$2, IF(H22=Data!$BH$5,Data!$HS$2)))</f>
        <v>0</v>
      </c>
      <c r="CZ22" s="351" t="b">
        <f>IF(H22=Data!$BF$3,Data!$HQ$16, IF(H22=Data!$BF$4,Data!$HP$16, IF(H22=Data!$BF$5,Data!$HR$16, IF(H22=Data!$BF$6,Data!$HO$16))))</f>
        <v>0</v>
      </c>
      <c r="DA22" s="351" t="b">
        <f>IF(G22=Data!$BC$3,'Shutters Page 1'!CW22,IF(G22=Data!$BC$4,'Shutters Page 1'!CX22,IF(G22=Data!$BC$6,'Shutters Page 1'!CY22, IF(G22=Data!$BC$5, 'Shutters Page 1'!CX22,IF(G22=Data!$BC$7,'Shutters Page 1'!CX22)))))</f>
        <v>0</v>
      </c>
      <c r="DB22" s="162" t="e">
        <f>IF(OR(AND(L22&gt;0,#REF!="")), "Error","OK")</f>
        <v>#REF!</v>
      </c>
      <c r="DC22" s="174" t="e">
        <f>IF(COUNTIF(#REF!,Data!$CX$6),"Yes","")</f>
        <v>#REF!</v>
      </c>
      <c r="DD22" s="55" t="str">
        <f t="shared" si="33"/>
        <v/>
      </c>
      <c r="DG22" s="55" t="str">
        <f>IF(N22=Data!$BI$5,"Yes",IF(N22=Data!$BI$6,"Yes","No"))</f>
        <v>No</v>
      </c>
      <c r="DH22" s="66" t="b">
        <f>IF(N22=Data!$BI$3,Data!$JB$2,IF(N22=Data!$BI$4,Data!$JC$2,IF(N22=Data!$BI$5,Data!$JD$2,IF(N22=Data!$BI$6,DI22,IF(N22=Data!$BI$7,Data!$JF$2, IF(N22=Data!$BI$8,Data!$JA$2, IF(N22=Data!$BI$9,Data!$JG$2)))))))</f>
        <v>0</v>
      </c>
      <c r="DI22" s="55" t="e">
        <f>VLOOKUP(P22,Data!$AAY$2:$ABA$44,3,FALSE)</f>
        <v>#N/A</v>
      </c>
      <c r="DK22" s="66" t="e">
        <f>VLOOKUP(P22,Data!$DO$4:$DQ$157,3,FALSE)</f>
        <v>#N/A</v>
      </c>
      <c r="DL22" s="55" t="e">
        <f t="shared" si="34"/>
        <v>#N/A</v>
      </c>
      <c r="DM22" s="55" t="e">
        <f t="shared" si="57"/>
        <v>#N/A</v>
      </c>
      <c r="DN22" s="162" t="b">
        <f>IF(Q22=Data!$BK$3,Data!$JH$2,IF(Q22=Data!$BK$4,Data!$JI$2,IF(Q22=Data!$BK$5,Data!$JJ$2,IF(Q22=Data!$BK$6,Data!$JK$2,IF(Q22=Data!$BK$7,Data!$JL$2,IF(Q22=Data!$BK$8,Data!$JM$2,IF(Q22=Data!$BK$9,Data!$JN$2,IF(Q22=Data!$BK$10,Data!$JO$2,IF(Q22=Data!$BK$11,Data!$JP$2,IF(Q22=Data!$BK$12,Data!$JQ$2,IF(Q22=Data!$BK$13,Data!$JR$2,IF(Q22=Data!$BK$14,Data!$JS$2,IF(Q22=Data!$BK$15,Data!$JT$2,IF(Q22=Data!$BK$16,Data!$JU$2,IF(Q22=Data!$BK$17,Data!$JV$2,IF(Q22=Data!$BK$18,Data!$JW$2, IF(Q22=Data!$BK$19,Data!$JX$2, IF(Q22=Data!$BK$20,Data!$JY$2, IF(Q22=Data!$BK$21,Data!$JN$2, IF(Q22=Data!$BK$22,Data!$JN$2, IF(Q22=Data!$BK$23,Data!$JN$2, IF(Q22=Data!$BK$24,Data!$JL$19))))))))))))))))))))))</f>
        <v>0</v>
      </c>
      <c r="DO22" s="55" t="str">
        <f>Data!$JH$19</f>
        <v>LRFrameAir</v>
      </c>
      <c r="DP22" s="55" t="b">
        <f>IF(G22=Data!$JH$18,'Shutters Page 1'!DO22,'Shutters Page 1'!DN22)</f>
        <v>0</v>
      </c>
      <c r="DR22" s="174" t="str">
        <f t="shared" si="58"/>
        <v/>
      </c>
      <c r="DS22" s="174" t="e">
        <f t="shared" si="59"/>
        <v>#N/A</v>
      </c>
      <c r="DT22" s="174" t="str">
        <f t="shared" si="35"/>
        <v>OK</v>
      </c>
      <c r="DU22" s="174" t="str">
        <f t="shared" si="36"/>
        <v>OK</v>
      </c>
      <c r="DV22" s="174" t="str">
        <f t="shared" si="37"/>
        <v>OK</v>
      </c>
      <c r="DW22" s="174" t="str">
        <f t="shared" si="38"/>
        <v>OK</v>
      </c>
      <c r="DX22" s="66" t="b">
        <f>IF(N22=Data!$LW$2,Data!$LX$1,IF(N22=Data!$LW$3,Data!$LY$1,IF(N22=Data!$LW$4,Data!$LZ$1,IF(N22=Data!$LW$5,Data!$MA$1,IF(N22=Data!$LW$6,Data!$MB$1,IF(N22=Data!$LW$7,Data!$MC$1, IF(N22=Data!$LW$8,Data!$MX$1)))))))</f>
        <v>0</v>
      </c>
      <c r="DY22" s="66" t="b">
        <f>IF(N22=Data!$LW$2,Data!$LX$147,IF(N22=Data!$LW$7,Data!$MC$1))</f>
        <v>0</v>
      </c>
      <c r="DZ22" s="66" t="b">
        <f>IF(G22=Data!$BC$3,'Shutters Page 1'!DX22,IF(G22=Data!$BC$5,'Shutters Page 1'!DY22))</f>
        <v>0</v>
      </c>
      <c r="EA22" s="66" t="b">
        <f>IF(E22=Data!$MD$2,Data!$ME$2, IF(E22=Data!$MD$3,Data!$MF$2, IF(E22=Data!$MD$4,Data!$MG$2)))</f>
        <v>0</v>
      </c>
      <c r="EB22" s="162" t="str">
        <f>IF(E22="MS",Data!$AK$1,IF(G22=Data!$BC$5,Data!$EJ$40,IF(G22=Data!$BC$4,Data!$EJ$20,Data!$EJ$2)))</f>
        <v>Special_Window_Timber</v>
      </c>
      <c r="EC22" s="66" t="str">
        <f>IF(OR(AND(T22="",Q22&lt;&gt;"")),VLOOKUP(Q22,Data!$FC$2:$FD$18,2,FALSE),"")</f>
        <v/>
      </c>
      <c r="ED22" s="66" t="str">
        <f>IF(OR(AND(U22="",Q22&lt;&gt;"")),VLOOKUP(Q22,Data!$FC$2:$FD$18,2,FALSE),"")</f>
        <v/>
      </c>
      <c r="EE22" s="66" t="str">
        <f>IF(OR(AND(V22="",Q22&lt;&gt;"")),VLOOKUP(Q22,Data!$FC$2:$FD$18,2,FALSE),"")</f>
        <v/>
      </c>
      <c r="EF22" s="162" t="e">
        <f>VLOOKUP(N22,Data!$MK$2:$ML$8,2,FALSE)</f>
        <v>#N/A</v>
      </c>
      <c r="EG22" s="66" t="e">
        <f>VLOOKUP(P22,Data!$DO$4:$DO$158,1,FALSE)</f>
        <v>#N/A</v>
      </c>
      <c r="EH22" s="66" t="e">
        <f t="shared" si="39"/>
        <v>#N/A</v>
      </c>
      <c r="EI22" s="55" t="str">
        <f t="shared" si="40"/>
        <v/>
      </c>
      <c r="EJ22" s="162" t="str">
        <f t="shared" si="41"/>
        <v>OK</v>
      </c>
      <c r="EK22" s="405" t="str">
        <f>Data!$JI$19</f>
        <v>TopBottomFrameAir</v>
      </c>
      <c r="EL22" s="405" t="b">
        <f>IF(G22=Data!$JH$18,EK22,EM22)</f>
        <v>0</v>
      </c>
      <c r="EM22" s="174" t="b">
        <f>IF(Q22=Data!$NN$3,Data!$NO$2, IF(Q22=Data!$NN$4,Data!$NP$2, IF(Q22=Data!$NN$5,Data!$NQ$2, IF(Q22=Data!$NN$6,Data!$NR$2, IF(Q22=Data!$NN$7,Data!$NS$2, IF(Q22=Data!$NN$8,Data!$NT$2, IF(Q22=Data!$NN$9,Data!$NU$2, IF(Q22=Data!$NN$10,Data!$NV$2, IF(Q22=Data!$NN$11,Data!$NW$2, IF(Q22=Data!$NN$12,Data!$NX$2, IF(Q22=Data!$NN$13,Data!$NY$2, IF(Q22=Data!$NN$14,Data!$NZ$2, IF(Q22=Data!$NN$15,Data!$OA$2, IF(Q22=Data!$NN$16,Data!$OB$2, IF(Q22=Data!$NN$17,Data!$OC$2, IF(Q22=Data!$NN$18,Data!$OD$2, IF(Q22=Data!$NN$19,Data!$OE$2, IF(Q22=Data!$NN$20,Data!$OG$2, IF(Q22=Data!$NN$25,Data!$NT$2, IF(Q22=Data!$NN$26,Data!$NT$2, IF(Q22=Data!$NN$27,Data!$NT$2, IF(Q22=Data!$NN$28,Data!$OH$2))))))))))))))))))))))</f>
        <v>0</v>
      </c>
      <c r="EN22" s="174" t="b">
        <f>IF(O22=$EN$7,Data!$OD$15,'Shutters Page 1'!EO22)</f>
        <v>0</v>
      </c>
      <c r="EO22" s="174" t="b">
        <f>IF(Q22=Data!$NN$3,Data!$NO$15,IF(Q22=Data!$NN$4,Data!$NP$15,IF(Q22=Data!$NN$5,Data!$NQ$15,IF(Q22=Data!$NN$6,Data!$NR$15,IF(Q22=Data!$NN$7,Data!$NS$15,IF(Q22=Data!$NN$8,Data!$NT$15,IF(Q22=Data!$NN$9,Data!$NU$15,IF(Q22=Data!$NN$10,Data!$NV$15,IF(Q22=Data!$NN$11,Data!$NW$15,IF(Q22=Data!$NN$12,Data!$NX$15,IF(Q22=Data!$NN$13,Data!$NY$15,IF(Q22=Data!$NN$14,Data!$NZ$15,IF(N22=Data!$NN$22,Data!$OA$15,IF(N22=Data!$NN$23,Data!$OB$15,IF(Q22=Data!$NN$19,Data!$OC$15, IF(Q22=Data!$NN$20,Data!$OG$15,IF(Q22=Data!$NN$25,Data!$NT$15,IF(Q22=Data!$NN$26,Data!$NT$15,IF(Q22=Data!$NN$27,Data!$NT$15,IF(Q22=Data!$NN$28,Data!$OH$15))))))))))))))))))))</f>
        <v>0</v>
      </c>
      <c r="EP22" s="406" t="str">
        <f>Data!$JI$19</f>
        <v>TopBottomFrameAir</v>
      </c>
      <c r="EQ22" s="406" t="b">
        <f>IF(G22=Data!$JH$18,EP22,EN22)</f>
        <v>0</v>
      </c>
      <c r="ER22" s="351" t="e">
        <f>MATCH(G22,Data!$CW$10:$CW$14,0)</f>
        <v>#N/A</v>
      </c>
      <c r="ES22" s="174" t="e">
        <f>MATCH(J22,Data!$CX$9:$DA$9,0)</f>
        <v>#N/A</v>
      </c>
      <c r="ET22" s="355" t="e">
        <f>INDEX(Data!$CX$10:$DA$14,'Shutters Page 1'!ER22,'Shutters Page 1'!ES22)</f>
        <v>#N/A</v>
      </c>
      <c r="EU22" s="355" t="e">
        <f>VLOOKUP(H22,Data!$BD$81:$BE$115,2,FALSE)</f>
        <v>#N/A</v>
      </c>
      <c r="EV22" s="355" t="e">
        <f>IF(EU22=Data!$BB$80,Data!$CW$20,'Shutters Page 1'!ET22)</f>
        <v>#N/A</v>
      </c>
      <c r="EW22" s="174" t="str">
        <f>IF(SUM(--ISNUMBER(SEARCH({"combo","Combo","COMBO"}, B39))),"Yes","No")</f>
        <v>No</v>
      </c>
      <c r="EX22" s="174" t="str">
        <f>IF(SUM(--ISNUMBER(SEARCH({"combo","Combo","COMBO"}, F39))),"Yes","No")</f>
        <v>No</v>
      </c>
      <c r="EY22" s="174" t="str">
        <f t="shared" si="60"/>
        <v>No</v>
      </c>
      <c r="EZ22" s="162">
        <f t="shared" si="42"/>
        <v>1</v>
      </c>
      <c r="FA22" s="162" t="e">
        <f t="shared" si="43"/>
        <v>#DIV/0!</v>
      </c>
      <c r="FB22" s="174" t="str">
        <f t="shared" si="44"/>
        <v/>
      </c>
      <c r="FC22" s="351" t="str">
        <f t="shared" si="45"/>
        <v/>
      </c>
      <c r="FD22" s="351" t="str">
        <f t="shared" si="46"/>
        <v/>
      </c>
      <c r="FE22" s="174" t="str">
        <f t="shared" si="47"/>
        <v/>
      </c>
      <c r="FF22" s="174" t="str">
        <f t="shared" si="48"/>
        <v/>
      </c>
      <c r="FG22" s="174" t="str">
        <f t="shared" si="49"/>
        <v/>
      </c>
      <c r="FH22" s="278" t="str">
        <f t="shared" si="61"/>
        <v>No</v>
      </c>
      <c r="FI22" s="351" t="e">
        <f>MATCH(G22,Data!$FH$18:$FL$18,0)</f>
        <v>#N/A</v>
      </c>
      <c r="FJ22" s="174" t="e">
        <f>MATCH(N22,Data!$FG$19:$FG$25,0)</f>
        <v>#N/A</v>
      </c>
      <c r="FK22" s="351" t="e">
        <f>INDEX(Data!$FH$19:$FL$25,'Shutters Page 1'!FJ22,'Shutters Page 1'!FI22)</f>
        <v>#N/A</v>
      </c>
      <c r="FL22" s="411" t="e">
        <f>MATCH(G22,Data!$FH$53:$FI$53,0)</f>
        <v>#N/A</v>
      </c>
      <c r="FM22" s="411" t="e">
        <f>MATCH(N22,Data!$FG$54:$FG$60,0)</f>
        <v>#N/A</v>
      </c>
      <c r="FN22" s="411" t="e">
        <f>INDEX(Data!$FH$54:$FI$60,'Shutters Page 1'!FM22,'Shutters Page 1'!FL22)</f>
        <v>#N/A</v>
      </c>
      <c r="FO22" s="411" t="e">
        <f>IF(E22=Data!$FH$35,'Shutters Page 1'!FN22,'Shutters Page 1'!FK22)</f>
        <v>#N/A</v>
      </c>
      <c r="FP22" s="351" t="e">
        <f>MATCH(G22,Data!$ME$26:$MG$26,0)</f>
        <v>#N/A</v>
      </c>
      <c r="FQ22" s="174" t="e">
        <f>MATCH(E22,Data!$MD$27:$MD$29,0)</f>
        <v>#N/A</v>
      </c>
      <c r="FR22" s="351" t="e">
        <f>INDEX(Data!$ME$27:$MG$29, 'Shutters Page 1'!FQ22, 'Shutters Page 1'!FP22)</f>
        <v>#N/A</v>
      </c>
      <c r="FS22" s="351" t="e">
        <f>MATCH(G22,Data!$AAF$1:$AAH$1,0)</f>
        <v>#N/A</v>
      </c>
      <c r="FT22" s="174" t="e">
        <f>MATCH(N22,Data!$AAE$2:$AAE$8,0)</f>
        <v>#N/A</v>
      </c>
      <c r="FU22" s="351" t="e">
        <f>INDEX(Data!$AAF$2:$AAH$8, 'Shutters Page 1'!FT22, 'Shutters Page 1'!FS22)</f>
        <v>#N/A</v>
      </c>
      <c r="FV22" s="351" t="e">
        <f>MATCH(G22,Data!$AAF$12:$AAH$12,0)</f>
        <v>#N/A</v>
      </c>
      <c r="FW22" s="174" t="e">
        <f>MATCH(N22,Data!$AAE$13:$AAE$19,0)</f>
        <v>#N/A</v>
      </c>
      <c r="FX22" s="351" t="e">
        <f>INDEX(Data!$AAF$13:$AAH$19, 'Shutters Page 1'!FW22, 'Shutters Page 1'!FV22)</f>
        <v>#N/A</v>
      </c>
      <c r="FY22" s="351" t="e">
        <f>MATCH(G22,Data!$AAK$1:$AAM$1,0)</f>
        <v>#N/A</v>
      </c>
      <c r="FZ22" s="174" t="e">
        <f>MATCH(Q22,Data!$AAJ$2,0)</f>
        <v>#N/A</v>
      </c>
      <c r="GA22" s="351" t="e">
        <f>INDEX(Data!$AAK$2:$AAM$2, 'Shutters Page 1'!FZ22, 'Shutters Page 1'!FY22)</f>
        <v>#N/A</v>
      </c>
      <c r="GB22" s="351" t="e">
        <f>MATCH(G22,Data!$AAK$12:$AAM$12,0)</f>
        <v>#N/A</v>
      </c>
      <c r="GC22" s="174" t="e">
        <f>MATCH(Q22,Data!$AAJ$13,0)</f>
        <v>#N/A</v>
      </c>
      <c r="GD22" s="351" t="e">
        <f>INDEX(Data!$AAK$13:$AAM$13, 'Shutters Page 1'!GC22, 'Shutters Page 1'!GB22)</f>
        <v>#N/A</v>
      </c>
      <c r="GE22" s="162" t="e">
        <f>VLOOKUP(H22,Data!$AAR$1:$AAS$35,2,FALSE)</f>
        <v>#N/A</v>
      </c>
      <c r="GF22" s="162" t="e">
        <f t="shared" si="50"/>
        <v>#N/A</v>
      </c>
      <c r="GG22" s="162" t="e">
        <f t="shared" si="51"/>
        <v>#N/A</v>
      </c>
      <c r="GH22" s="162" t="e">
        <f t="shared" si="52"/>
        <v>#N/A</v>
      </c>
      <c r="GI22" s="162" t="str">
        <f>IF(G22=Data!$NC$1,Data!$ND$1,Data!$NE$1)</f>
        <v>FauxwoodStile</v>
      </c>
      <c r="GL22" s="55" t="e">
        <f>VLOOKUP('Shutters Page 1'!H22,Data!$BD$81:$BE$115,2,FALSE)</f>
        <v>#N/A</v>
      </c>
      <c r="GM22" s="55" t="e">
        <f>IF(GL22=Data!$BB$80,"Yes", "No")</f>
        <v>#N/A</v>
      </c>
      <c r="GN22" s="55" t="e">
        <f>IF(GM22="Yes",Data!$EJ$57,'Shutters Page 1'!EB22)</f>
        <v>#N/A</v>
      </c>
      <c r="GQ22" s="55" t="b">
        <f>IF(G22=$GQ$6,Data!$EN$47,IF(G22='Shutters Page 1'!$GQ$7,Data!$EM$47))</f>
        <v>0</v>
      </c>
    </row>
    <row r="23" spans="1:199" ht="36.75" customHeight="1" thickBot="1">
      <c r="A23" s="54">
        <v>15</v>
      </c>
      <c r="B23" s="21"/>
      <c r="C23" s="22"/>
      <c r="D23" s="22"/>
      <c r="E23" s="22"/>
      <c r="F23" s="46"/>
      <c r="G23" s="21"/>
      <c r="H23" s="551"/>
      <c r="I23" s="716"/>
      <c r="J23" s="22"/>
      <c r="K23" s="150" t="str">
        <f t="shared" si="0"/>
        <v/>
      </c>
      <c r="L23" s="44"/>
      <c r="M23" s="44"/>
      <c r="N23" s="44"/>
      <c r="O23" s="44"/>
      <c r="P23" s="44"/>
      <c r="Q23" s="500"/>
      <c r="R23" s="500"/>
      <c r="S23" s="21"/>
      <c r="T23" s="21"/>
      <c r="U23" s="21"/>
      <c r="V23" s="21"/>
      <c r="W23" s="44"/>
      <c r="X23" s="44"/>
      <c r="Y23" s="30"/>
      <c r="Z23" s="30"/>
      <c r="AA23" s="22"/>
      <c r="AB23" s="22"/>
      <c r="AC23" s="22"/>
      <c r="AD23" s="44"/>
      <c r="AE23" s="170" t="str">
        <f t="shared" si="1"/>
        <v/>
      </c>
      <c r="AF23" s="236"/>
      <c r="AG23" s="237"/>
      <c r="AI23" s="55">
        <f t="shared" si="2"/>
        <v>0</v>
      </c>
      <c r="AJ23" s="55">
        <f t="shared" si="3"/>
        <v>0</v>
      </c>
      <c r="AK23" s="55">
        <f>IF(P23&lt;&gt;"",VLOOKUP(P23,Data!$AAY$2:$AAZ$44,2,FALSE),0)</f>
        <v>0</v>
      </c>
      <c r="AL23" s="55" t="str">
        <f>IF(E23=Data!$BB$10,Data!$BC$10,Data!$BC$2)</f>
        <v>ShutterMaterial</v>
      </c>
      <c r="AP23" s="55" t="str">
        <f t="shared" si="53"/>
        <v>SlidingSystemNA</v>
      </c>
      <c r="AV23" s="115" t="str">
        <f t="shared" si="4"/>
        <v/>
      </c>
      <c r="AW23" s="66" t="e">
        <f t="shared" si="5"/>
        <v>#N/A</v>
      </c>
      <c r="AX23" s="174" t="e">
        <f>VLOOKUP(Q23,Data!$MI$2:$MJ$4,2,FALSE)</f>
        <v>#N/A</v>
      </c>
      <c r="AY23" s="174" t="e">
        <f t="shared" si="6"/>
        <v>#N/A</v>
      </c>
      <c r="AZ23" s="174" t="e">
        <f>VLOOKUP(N23,Data!$BI$24:$BJ$30,2,FALSE)</f>
        <v>#N/A</v>
      </c>
      <c r="BA23" s="163" t="b">
        <f>IF(G23=Data!$BO$2,Data!$BS$2, IF('Shutters Page 1'!G23=Data!$BP$2,Data!$BT$2, IF('Shutters Page 1'!G23=Data!$BQ$2,Data!$BU$2)))</f>
        <v>0</v>
      </c>
      <c r="BB23" s="361" t="str">
        <f t="shared" si="7"/>
        <v>No</v>
      </c>
      <c r="BC23" s="163" t="e">
        <f t="shared" si="8"/>
        <v>#DIV/0!</v>
      </c>
      <c r="BD23" s="361" t="e">
        <f t="shared" si="9"/>
        <v>#DIV/0!</v>
      </c>
      <c r="BE23" s="163" t="e">
        <f t="shared" si="10"/>
        <v>#DIV/0!</v>
      </c>
      <c r="BF23" s="361" t="str">
        <f t="shared" si="11"/>
        <v>No</v>
      </c>
      <c r="BG23" s="160" t="str">
        <f t="shared" si="12"/>
        <v>NotRequired</v>
      </c>
      <c r="BH23" s="163" t="b">
        <f>IF(G23=Data!$BO$2,Data!$CM$2, IF('Shutters Page 1'!G23=Data!$BP$2,Data!$CN$2, IF('Shutters Page 1'!G23=Data!$BQ$2,Data!$CO$2)))</f>
        <v>0</v>
      </c>
      <c r="BI23" s="163" t="e">
        <f t="shared" si="54"/>
        <v>#DIV/0!</v>
      </c>
      <c r="BJ23" s="164" t="str">
        <f t="shared" si="13"/>
        <v>NoHighlight</v>
      </c>
      <c r="BK23" s="361" t="str">
        <f t="shared" si="14"/>
        <v>FauxwoodRPNo</v>
      </c>
      <c r="BL23" s="161" t="str">
        <f>IF(SUM(--ISNUMBER( SEARCH({"t","T"},P23))),"Yes","No")</f>
        <v>No</v>
      </c>
      <c r="BM23" s="164" t="str">
        <f t="shared" si="15"/>
        <v>OK</v>
      </c>
      <c r="BN23" s="164" t="str">
        <f t="shared" si="16"/>
        <v>OK</v>
      </c>
      <c r="BO23" s="164" t="str">
        <f t="shared" si="17"/>
        <v>OK</v>
      </c>
      <c r="BP23" s="164" t="e">
        <f>IF(OR(AND(F23&gt;1,#REF!="L",#REF!="l"),AND(F23&gt;1,#REF!="R",#REF!="r"),AND(F23&gt;2,#REF!="LR",#REF!="lr")), "Error","OK")</f>
        <v>#REF!</v>
      </c>
      <c r="BQ23" s="164" t="str">
        <f t="shared" si="18"/>
        <v>FauxwoodAINo</v>
      </c>
      <c r="BR23" s="164" t="str">
        <f>IF(SUM(--ISNUMBER(SEARCH({"combo","Combo","COMBO"}, B40))),"Yes","No")</f>
        <v>No</v>
      </c>
      <c r="BS23" s="164" t="str">
        <f t="shared" si="55"/>
        <v>No</v>
      </c>
      <c r="BT23" s="164" t="str">
        <f>IF(SUM(--ISNUMBER( SEARCH({"c","C","b","B"},#REF!))),"Yes","No")</f>
        <v>No</v>
      </c>
      <c r="BU23" s="162">
        <f t="shared" si="19"/>
        <v>0</v>
      </c>
      <c r="BV23" s="174" t="str">
        <f>IF(N23=Data!$BI$3,Data!$DR$3,IF(N23=Data!$BI$4,Data!$DS$3,IF(N23=Data!$BI$5,Data!$DT$3,IF(N23=Data!$BI$6,Data!$DU$3,IF(N23=Data!$BI$7,Data!$DV$3, IF(N23=Data!$BI$8,Data!$DX$3, IF(N23=Data!$BI$9,Data!$DW$3, "")))))))</f>
        <v/>
      </c>
      <c r="BW23" s="174" t="str">
        <f>IF(N23=Data!$BI$3,Data!$DY$3,IF(N23=Data!$BI$4,Data!$DZ$3,IF(N23=Data!$BI$5,Data!$EA$3,IF(N23=Data!$BI$6,Data!$EB$3,IF(N23=Data!$BI$7,Data!$EC$3,IF(N23=Data!$BI$8,Data!$EE$3, IF(N23=Data!$BI$9,Data!$ED$3,"")))))))</f>
        <v/>
      </c>
      <c r="BX23" s="162">
        <f t="shared" si="20"/>
        <v>0</v>
      </c>
      <c r="BY23" s="165">
        <f t="shared" si="21"/>
        <v>0</v>
      </c>
      <c r="BZ23" s="166" t="e">
        <f t="shared" si="22"/>
        <v>#DIV/0!</v>
      </c>
      <c r="CA23" s="351" t="b">
        <f>IF(G23=Data!$EU$2,Data!$ES$2,IF(G23=Data!$EU$3,Data!$ER$2, IF(G23=Data!$EU$5,Data!$ET$2, IF(G23=Data!$EU$4,Data!$EQ$2,IF(G23=Data!$EU$6,Data!$ER$2)))))</f>
        <v>0</v>
      </c>
      <c r="CB23" s="351" t="b">
        <f>IF(G23=Data!$EU$2,Data!$EW$2,IF(G23=Data!$EU$3,Data!$EX$2,IF(G23=Data!$EU$4,Data!$EY$2, IF(G23=Data!$EU$5,Data!$EY$2,IF(G23=Data!$EU$6,Data!$EX$2)))))</f>
        <v>0</v>
      </c>
      <c r="CC23" s="174" t="e">
        <f>VLOOKUP(M23,Data!$EJ$3:$EK$15,2,FALSE)</f>
        <v>#N/A</v>
      </c>
      <c r="CD23" s="174" t="str">
        <f>IF(J23="114mm",VLOOKUP(H23,Data!$FA$2:$FB$18,2,FALSE),"OK")</f>
        <v>OK</v>
      </c>
      <c r="CE23" s="166" t="e">
        <f t="shared" si="23"/>
        <v>#DIV/0!</v>
      </c>
      <c r="CF23" s="174" t="str">
        <f>IF(OR(AND(S23="",Q23&lt;&gt;"")),VLOOKUP(Q23,Data!$FC$2:$FD$19,2,FALSE),"")</f>
        <v/>
      </c>
      <c r="CG23" s="174" t="str">
        <f>IF(N23=Data!$BI$3,Data!$FJ$1,IF(N23=Data!$BI$4,Data!$FK$1,IF(N23=Data!$BI$5,Data!$FL$1,IF(N23=Data!$BI$6,Data!$FM$1,IF(N23=Data!$BI$7,Data!$FN$1, IF(N23=Data!$BI$8,Data!$FO$1, IF(N23=Data!$BI$9,Data!$FI$1, "")))))))</f>
        <v/>
      </c>
      <c r="CH23" s="166" t="str">
        <f>IF(SUM(--ISNUMBER(SEARCH({"z","Z"}, Q23))),"Yes","No")</f>
        <v>No</v>
      </c>
      <c r="CI23" s="166" t="str">
        <f t="shared" si="24"/>
        <v>OK</v>
      </c>
      <c r="CJ23" s="174">
        <f t="shared" si="25"/>
        <v>0</v>
      </c>
      <c r="CK23" s="174" t="e">
        <f>VLOOKUP(P23,Data!$DO$4:$DP$157,2,FALSE)</f>
        <v>#N/A</v>
      </c>
      <c r="CL23" s="166" t="e">
        <f t="shared" si="26"/>
        <v>#N/A</v>
      </c>
      <c r="CM23" s="165"/>
      <c r="CN23" s="165"/>
      <c r="CO23" s="165"/>
      <c r="CP23" s="366" t="str">
        <f t="shared" si="27"/>
        <v>OK</v>
      </c>
      <c r="CQ23" s="174" t="b">
        <f t="shared" si="28"/>
        <v>0</v>
      </c>
      <c r="CR23" s="166">
        <f>IF(E23="IN",1,IF(E23="OUT",1,0))</f>
        <v>0</v>
      </c>
      <c r="CS23" s="166">
        <f t="shared" si="30"/>
        <v>1</v>
      </c>
      <c r="CT23" s="166">
        <f>CQ23*CR23*CS23</f>
        <v>0</v>
      </c>
      <c r="CU23" s="162" t="e">
        <f t="shared" si="31"/>
        <v>#DIV/0!</v>
      </c>
      <c r="CV23" s="162" t="e">
        <f>VLOOKUP(H23,Data!$BD$81:$BE$111,2,FALSE)</f>
        <v>#N/A</v>
      </c>
      <c r="CW23" s="174" t="str">
        <f t="shared" si="32"/>
        <v/>
      </c>
      <c r="CX23" s="292" t="str">
        <f>IF(H23=Data!$BE$3,Data!$HQ$2, IF(H23=Data!$BE$4,Data!$HP$2, IF(H23=Data!$BE$5,Data!$HR$2, IF(H23=Data!$BE$6,Data!$HO$2))))</f>
        <v>Super WhiteNA</v>
      </c>
      <c r="CY23" s="351" t="b">
        <f>IF(H23=Data!$BH$3,Data!$HU$2, IF(H23=Data!$BH$4,Data!$HT$2, IF(H23=Data!$BH$5,Data!$HS$2)))</f>
        <v>0</v>
      </c>
      <c r="CZ23" s="351" t="b">
        <f>IF(H23=Data!$BF$3,Data!$HQ$16, IF(H23=Data!$BF$4,Data!$HP$16, IF(H23=Data!$BF$5,Data!$HR$16, IF(H23=Data!$BF$6,Data!$HO$16))))</f>
        <v>0</v>
      </c>
      <c r="DA23" s="351" t="b">
        <f>IF(G23=Data!$BC$3,'Shutters Page 1'!CW23,IF(G23=Data!$BC$4,'Shutters Page 1'!CX23,IF(G23=Data!$BC$6,'Shutters Page 1'!CY23, IF(G23=Data!$BC$5, 'Shutters Page 1'!CX23,IF(G23=Data!$BC$7,'Shutters Page 1'!CX23)))))</f>
        <v>0</v>
      </c>
      <c r="DB23" s="165" t="e">
        <f>IF(OR(AND(L23&gt;0,#REF!="")), "Error","OK")</f>
        <v>#REF!</v>
      </c>
      <c r="DC23" s="174" t="e">
        <f>IF(COUNTIF(#REF!,Data!$CX$6),"Yes","")</f>
        <v>#REF!</v>
      </c>
      <c r="DD23" s="55" t="str">
        <f t="shared" si="33"/>
        <v/>
      </c>
      <c r="DG23" s="55" t="str">
        <f>IF(N23=Data!$BI$5,"Yes",IF(N23=Data!$BI$6,"Yes","No"))</f>
        <v>No</v>
      </c>
      <c r="DH23" s="66" t="b">
        <f>IF(N23=Data!$BI$3,Data!$JB$2,IF(N23=Data!$BI$4,Data!$JC$2,IF(N23=Data!$BI$5,Data!$JD$2,IF(N23=Data!$BI$6,DI23,IF(N23=Data!$BI$7,Data!$JF$2, IF(N23=Data!$BI$8,Data!$JA$2, IF(N23=Data!$BI$9,Data!$JG$2)))))))</f>
        <v>0</v>
      </c>
      <c r="DI23" s="55" t="e">
        <f>VLOOKUP(P23,Data!$AAY$2:$ABA$44,3,FALSE)</f>
        <v>#N/A</v>
      </c>
      <c r="DK23" s="66" t="e">
        <f>VLOOKUP(P23,Data!$DO$4:$DQ$157,3,FALSE)</f>
        <v>#N/A</v>
      </c>
      <c r="DL23" s="55" t="e">
        <f t="shared" si="34"/>
        <v>#N/A</v>
      </c>
      <c r="DM23" s="55" t="e">
        <f>IF(DL23=0,"OK", "Layout Code &amp; T Post Quantity Issue")</f>
        <v>#N/A</v>
      </c>
      <c r="DN23" s="162" t="b">
        <f>IF(Q23=Data!$BK$3,Data!$JH$2,IF(Q23=Data!$BK$4,Data!$JI$2,IF(Q23=Data!$BK$5,Data!$JJ$2,IF(Q23=Data!$BK$6,Data!$JK$2,IF(Q23=Data!$BK$7,Data!$JL$2,IF(Q23=Data!$BK$8,Data!$JM$2,IF(Q23=Data!$BK$9,Data!$JN$2,IF(Q23=Data!$BK$10,Data!$JO$2,IF(Q23=Data!$BK$11,Data!$JP$2,IF(Q23=Data!$BK$12,Data!$JQ$2,IF(Q23=Data!$BK$13,Data!$JR$2,IF(Q23=Data!$BK$14,Data!$JS$2,IF(Q23=Data!$BK$15,Data!$JT$2,IF(Q23=Data!$BK$16,Data!$JU$2,IF(Q23=Data!$BK$17,Data!$JV$2,IF(Q23=Data!$BK$18,Data!$JW$2, IF(Q23=Data!$BK$19,Data!$JX$2, IF(Q23=Data!$BK$20,Data!$JY$2, IF(Q23=Data!$BK$21,Data!$JN$2, IF(Q23=Data!$BK$22,Data!$JN$2, IF(Q23=Data!$BK$23,Data!$JN$2, IF(Q23=Data!$BK$24,Data!$JL$19))))))))))))))))))))))</f>
        <v>0</v>
      </c>
      <c r="DO23" s="55" t="str">
        <f>Data!$JH$19</f>
        <v>LRFrameAir</v>
      </c>
      <c r="DP23" s="55" t="b">
        <f>IF(G23=Data!$JH$18,'Shutters Page 1'!DO23,'Shutters Page 1'!DN23)</f>
        <v>0</v>
      </c>
      <c r="DR23" s="174" t="str">
        <f t="shared" si="58"/>
        <v/>
      </c>
      <c r="DS23" s="174" t="e">
        <f t="shared" si="59"/>
        <v>#N/A</v>
      </c>
      <c r="DT23" s="174" t="str">
        <f t="shared" si="35"/>
        <v>OK</v>
      </c>
      <c r="DU23" s="174" t="str">
        <f t="shared" si="36"/>
        <v>OK</v>
      </c>
      <c r="DV23" s="174" t="str">
        <f t="shared" si="37"/>
        <v>OK</v>
      </c>
      <c r="DW23" s="174" t="str">
        <f t="shared" si="38"/>
        <v>OK</v>
      </c>
      <c r="DX23" s="66" t="b">
        <f>IF(N23=Data!$LW$2,Data!$LX$1,IF(N23=Data!$LW$3,Data!$LY$1,IF(N23=Data!$LW$4,Data!$LZ$1,IF(N23=Data!$LW$5,Data!$MA$1,IF(N23=Data!$LW$6,Data!$MB$1,IF(N23=Data!$LW$7,Data!$MC$1, IF(N23=Data!$LW$8,Data!$MX$1)))))))</f>
        <v>0</v>
      </c>
      <c r="DY23" s="66" t="b">
        <f>IF(N23=Data!$LW$2,Data!$LX$147,IF(N23=Data!$LW$7,Data!$MC$1))</f>
        <v>0</v>
      </c>
      <c r="DZ23" s="66" t="b">
        <f>IF(G23=Data!$BC$3,'Shutters Page 1'!DX23,IF(G23=Data!$BC$5,'Shutters Page 1'!DY23))</f>
        <v>0</v>
      </c>
      <c r="EA23" s="66" t="b">
        <f>IF(E23=Data!$MD$2,Data!$ME$2, IF(E23=Data!$MD$3,Data!$MF$2, IF(E23=Data!$MD$4,Data!$MG$2)))</f>
        <v>0</v>
      </c>
      <c r="EB23" s="162" t="str">
        <f>IF(E23="MS",Data!$AK$1,IF(G23=Data!$BC$5,Data!$EJ$40,IF(G23=Data!$BC$4,Data!$EJ$20,Data!$EJ$2)))</f>
        <v>Special_Window_Timber</v>
      </c>
      <c r="EC23" s="66" t="str">
        <f>IF(OR(AND(T23="",Q23&lt;&gt;"")),VLOOKUP(Q23,Data!$FC$2:$FD$18,2,FALSE),"")</f>
        <v/>
      </c>
      <c r="ED23" s="66" t="str">
        <f>IF(OR(AND(U23="",Q23&lt;&gt;"")),VLOOKUP(Q23,Data!$FC$2:$FD$18,2,FALSE),"")</f>
        <v/>
      </c>
      <c r="EE23" s="66" t="str">
        <f>IF(OR(AND(V23="",Q23&lt;&gt;"")),VLOOKUP(Q23,Data!$FC$2:$FD$18,2,FALSE),"")</f>
        <v/>
      </c>
      <c r="EF23" s="162" t="e">
        <f>VLOOKUP(N23,Data!$MK$2:$ML$8,2,FALSE)</f>
        <v>#N/A</v>
      </c>
      <c r="EG23" s="66" t="e">
        <f>VLOOKUP(P23,Data!$DO$4:$DO$158,1,FALSE)</f>
        <v>#N/A</v>
      </c>
      <c r="EH23" s="66" t="e">
        <f t="shared" si="39"/>
        <v>#N/A</v>
      </c>
      <c r="EI23" s="55" t="str">
        <f t="shared" si="40"/>
        <v/>
      </c>
      <c r="EJ23" s="162" t="str">
        <f t="shared" si="41"/>
        <v>OK</v>
      </c>
      <c r="EK23" s="405" t="str">
        <f>Data!$JI$19</f>
        <v>TopBottomFrameAir</v>
      </c>
      <c r="EL23" s="405" t="b">
        <f>IF(G23=Data!$JH$18,EK23,EM23)</f>
        <v>0</v>
      </c>
      <c r="EM23" s="174" t="b">
        <f>IF(Q23=Data!$NN$3,Data!$NO$2, IF(Q23=Data!$NN$4,Data!$NP$2, IF(Q23=Data!$NN$5,Data!$NQ$2, IF(Q23=Data!$NN$6,Data!$NR$2, IF(Q23=Data!$NN$7,Data!$NS$2, IF(Q23=Data!$NN$8,Data!$NT$2, IF(Q23=Data!$NN$9,Data!$NU$2, IF(Q23=Data!$NN$10,Data!$NV$2, IF(Q23=Data!$NN$11,Data!$NW$2, IF(Q23=Data!$NN$12,Data!$NX$2, IF(Q23=Data!$NN$13,Data!$NY$2, IF(Q23=Data!$NN$14,Data!$NZ$2, IF(Q23=Data!$NN$15,Data!$OA$2, IF(Q23=Data!$NN$16,Data!$OB$2, IF(Q23=Data!$NN$17,Data!$OC$2, IF(Q23=Data!$NN$18,Data!$OD$2, IF(Q23=Data!$NN$19,Data!$OE$2, IF(Q23=Data!$NN$20,Data!$OG$2, IF(Q23=Data!$NN$25,Data!$NT$2, IF(Q23=Data!$NN$26,Data!$NT$2, IF(Q23=Data!$NN$27,Data!$NT$2, IF(Q23=Data!$NN$28,Data!$OH$2))))))))))))))))))))))</f>
        <v>0</v>
      </c>
      <c r="EN23" s="174" t="b">
        <f>IF(O23=$EN$7,Data!$OD$15,'Shutters Page 1'!EO23)</f>
        <v>0</v>
      </c>
      <c r="EO23" s="174" t="b">
        <f>IF(Q23=Data!$NN$3,Data!$NO$15,IF(Q23=Data!$NN$4,Data!$NP$15,IF(Q23=Data!$NN$5,Data!$NQ$15,IF(Q23=Data!$NN$6,Data!$NR$15,IF(Q23=Data!$NN$7,Data!$NS$15,IF(Q23=Data!$NN$8,Data!$NT$15,IF(Q23=Data!$NN$9,Data!$NU$15,IF(Q23=Data!$NN$10,Data!$NV$15,IF(Q23=Data!$NN$11,Data!$NW$15,IF(Q23=Data!$NN$12,Data!$NX$15,IF(Q23=Data!$NN$13,Data!$NY$15,IF(Q23=Data!$NN$14,Data!$NZ$15,IF(N23=Data!$NN$22,Data!$OA$15,IF(N23=Data!$NN$23,Data!$OB$15,IF(Q23=Data!$NN$19,Data!$OC$15, IF(Q23=Data!$NN$20,Data!$OG$15,IF(Q23=Data!$NN$25,Data!$NT$15,IF(Q23=Data!$NN$26,Data!$NT$15,IF(Q23=Data!$NN$27,Data!$NT$15,IF(Q23=Data!$NN$28,Data!$OH$15))))))))))))))))))))</f>
        <v>0</v>
      </c>
      <c r="EP23" s="406" t="str">
        <f>Data!$JI$19</f>
        <v>TopBottomFrameAir</v>
      </c>
      <c r="EQ23" s="406" t="b">
        <f>IF(G23=Data!$JH$18,EP23,EN23)</f>
        <v>0</v>
      </c>
      <c r="ER23" s="351" t="e">
        <f>MATCH(G23,Data!$CW$10:$CW$14,0)</f>
        <v>#N/A</v>
      </c>
      <c r="ES23" s="174" t="e">
        <f>MATCH(J23,Data!$CX$9:$DA$9,0)</f>
        <v>#N/A</v>
      </c>
      <c r="ET23" s="355" t="e">
        <f>INDEX(Data!$CX$10:$DA$14,'Shutters Page 1'!ER23,'Shutters Page 1'!ES23)</f>
        <v>#N/A</v>
      </c>
      <c r="EU23" s="355" t="e">
        <f>VLOOKUP(H23,Data!$BD$81:$BE$115,2,FALSE)</f>
        <v>#N/A</v>
      </c>
      <c r="EV23" s="355" t="e">
        <f>IF(EU23=Data!$BB$80,Data!$CW$20,'Shutters Page 1'!ET23)</f>
        <v>#N/A</v>
      </c>
      <c r="EW23" s="174" t="str">
        <f>IF(SUM(--ISNUMBER(SEARCH({"combo","Combo","COMBO"}, B40))),"Yes","No")</f>
        <v>No</v>
      </c>
      <c r="EX23" s="174" t="str">
        <f>IF(SUM(--ISNUMBER(SEARCH({"combo","Combo","COMBO"}, F40))),"Yes","No")</f>
        <v>No</v>
      </c>
      <c r="EY23" s="174" t="str">
        <f t="shared" si="60"/>
        <v>No</v>
      </c>
      <c r="EZ23" s="162">
        <f t="shared" si="42"/>
        <v>1</v>
      </c>
      <c r="FA23" s="162" t="e">
        <f t="shared" si="43"/>
        <v>#DIV/0!</v>
      </c>
      <c r="FB23" s="174" t="str">
        <f t="shared" si="44"/>
        <v/>
      </c>
      <c r="FC23" s="351" t="str">
        <f t="shared" si="45"/>
        <v/>
      </c>
      <c r="FD23" s="351" t="str">
        <f t="shared" si="46"/>
        <v/>
      </c>
      <c r="FE23" s="174" t="str">
        <f t="shared" si="47"/>
        <v/>
      </c>
      <c r="FF23" s="174" t="str">
        <f t="shared" si="48"/>
        <v/>
      </c>
      <c r="FG23" s="174" t="str">
        <f t="shared" si="49"/>
        <v/>
      </c>
      <c r="FH23" s="278" t="str">
        <f t="shared" si="61"/>
        <v>No</v>
      </c>
      <c r="FI23" s="351" t="e">
        <f>MATCH(G23,Data!$FH$18:$FL$18,0)</f>
        <v>#N/A</v>
      </c>
      <c r="FJ23" s="174" t="e">
        <f>MATCH(N23,Data!$FG$19:$FG$25,0)</f>
        <v>#N/A</v>
      </c>
      <c r="FK23" s="351" t="e">
        <f>INDEX(Data!$FH$19:$FL$25,'Shutters Page 1'!FJ23,'Shutters Page 1'!FI23)</f>
        <v>#N/A</v>
      </c>
      <c r="FL23" s="411" t="e">
        <f>MATCH(G23,Data!$FH$53:$FI$53,0)</f>
        <v>#N/A</v>
      </c>
      <c r="FM23" s="411" t="e">
        <f>MATCH(N23,Data!$FG$54:$FG$60,0)</f>
        <v>#N/A</v>
      </c>
      <c r="FN23" s="411" t="e">
        <f>INDEX(Data!$FH$54:$FI$60,'Shutters Page 1'!FM23,'Shutters Page 1'!FL23)</f>
        <v>#N/A</v>
      </c>
      <c r="FO23" s="411" t="e">
        <f>IF(E23=Data!$FH$35,'Shutters Page 1'!FN23,'Shutters Page 1'!FK23)</f>
        <v>#N/A</v>
      </c>
      <c r="FP23" s="351" t="e">
        <f>MATCH(G23,Data!$ME$26:$MG$26,0)</f>
        <v>#N/A</v>
      </c>
      <c r="FQ23" s="174" t="e">
        <f>MATCH(E23,Data!$MD$27:$MD$29,0)</f>
        <v>#N/A</v>
      </c>
      <c r="FR23" s="351" t="e">
        <f>INDEX(Data!$ME$27:$MG$29, 'Shutters Page 1'!FQ23, 'Shutters Page 1'!FP23)</f>
        <v>#N/A</v>
      </c>
      <c r="FS23" s="351" t="e">
        <f>MATCH(G23,Data!$AAF$1:$AAH$1,0)</f>
        <v>#N/A</v>
      </c>
      <c r="FT23" s="174" t="e">
        <f>MATCH(N23,Data!$AAE$2:$AAE$8,0)</f>
        <v>#N/A</v>
      </c>
      <c r="FU23" s="351" t="e">
        <f>INDEX(Data!$AAF$2:$AAH$8, 'Shutters Page 1'!FT23, 'Shutters Page 1'!FS23)</f>
        <v>#N/A</v>
      </c>
      <c r="FV23" s="351" t="e">
        <f>MATCH(G23,Data!$AAF$12:$AAH$12,0)</f>
        <v>#N/A</v>
      </c>
      <c r="FW23" s="174" t="e">
        <f>MATCH(N23,Data!$AAE$13:$AAE$19,0)</f>
        <v>#N/A</v>
      </c>
      <c r="FX23" s="351" t="e">
        <f>INDEX(Data!$AAF$13:$AAH$19, 'Shutters Page 1'!FW23, 'Shutters Page 1'!FV23)</f>
        <v>#N/A</v>
      </c>
      <c r="FY23" s="351" t="e">
        <f>MATCH(G23,Data!$AAK$1:$AAM$1,0)</f>
        <v>#N/A</v>
      </c>
      <c r="FZ23" s="174" t="e">
        <f>MATCH(Q23,Data!$AAJ$2,0)</f>
        <v>#N/A</v>
      </c>
      <c r="GA23" s="351" t="e">
        <f>INDEX(Data!$AAK$2:$AAM$2, 'Shutters Page 1'!FZ23, 'Shutters Page 1'!FY23)</f>
        <v>#N/A</v>
      </c>
      <c r="GB23" s="351" t="e">
        <f>MATCH(G23,Data!$AAK$12:$AAM$12,0)</f>
        <v>#N/A</v>
      </c>
      <c r="GC23" s="174" t="e">
        <f>MATCH(Q23,Data!$AAJ$13,0)</f>
        <v>#N/A</v>
      </c>
      <c r="GD23" s="351" t="e">
        <f>INDEX(Data!$AAK$13:$AAM$13, 'Shutters Page 1'!GC23, 'Shutters Page 1'!GB23)</f>
        <v>#N/A</v>
      </c>
      <c r="GE23" s="162" t="e">
        <f>VLOOKUP(H23,Data!$AAR$1:$AAS$35,2,FALSE)</f>
        <v>#N/A</v>
      </c>
      <c r="GF23" s="162" t="e">
        <f t="shared" si="50"/>
        <v>#N/A</v>
      </c>
      <c r="GG23" s="162" t="e">
        <f t="shared" si="51"/>
        <v>#N/A</v>
      </c>
      <c r="GH23" s="162" t="e">
        <f t="shared" si="52"/>
        <v>#N/A</v>
      </c>
      <c r="GI23" s="162" t="str">
        <f>IF(G23=Data!$NC$1,Data!$ND$1,Data!$NE$1)</f>
        <v>FauxwoodStile</v>
      </c>
      <c r="GL23" s="55" t="e">
        <f>VLOOKUP('Shutters Page 1'!H23,Data!$BD$81:$BE$115,2,FALSE)</f>
        <v>#N/A</v>
      </c>
      <c r="GM23" s="55" t="e">
        <f>IF(GL23=Data!$BB$80,"Yes", "No")</f>
        <v>#N/A</v>
      </c>
      <c r="GN23" s="55" t="e">
        <f>IF(GM23="Yes",Data!$EJ$57,'Shutters Page 1'!EB23)</f>
        <v>#N/A</v>
      </c>
      <c r="GQ23" s="55" t="b">
        <f>IF(G23=$GQ$6,Data!$EN$47,IF(G23='Shutters Page 1'!$GQ$7,Data!$EM$47))</f>
        <v>0</v>
      </c>
    </row>
    <row r="24" spans="1:199" ht="18.75" customHeight="1" thickTop="1" thickBot="1">
      <c r="A24" s="713"/>
      <c r="B24" s="713"/>
      <c r="I24" s="55"/>
      <c r="K24" s="56"/>
      <c r="L24" s="56"/>
      <c r="M24" s="172"/>
      <c r="N24" s="172"/>
      <c r="O24" s="172"/>
      <c r="P24" s="172"/>
      <c r="Q24" s="172"/>
      <c r="R24" s="172"/>
      <c r="S24" s="173"/>
      <c r="AI24" s="55">
        <f>SUM(AI9:AI23)</f>
        <v>0</v>
      </c>
      <c r="AJ24" s="55">
        <f>SUM(AJ9:AJ23)</f>
        <v>0</v>
      </c>
      <c r="AK24" s="55">
        <f>SUM(AI24:AJ24)</f>
        <v>0</v>
      </c>
      <c r="AL24" s="55" t="str">
        <f>IF(E24=Data!$BB$10,Data!$BC$10,Data!$BC$2)</f>
        <v>ShutterMaterial</v>
      </c>
      <c r="AP24" s="55" t="str">
        <f t="shared" si="53"/>
        <v>SlidingSystemNA</v>
      </c>
      <c r="AV24" s="56"/>
      <c r="BB24" s="66"/>
      <c r="BD24" s="66"/>
      <c r="BF24" s="66"/>
      <c r="BJ24" s="66"/>
      <c r="BK24" s="55"/>
      <c r="BV24" s="66"/>
      <c r="BW24" s="66"/>
      <c r="CA24" s="66"/>
      <c r="CF24" s="66"/>
      <c r="CG24" s="66"/>
      <c r="CJ24" s="66"/>
      <c r="CK24" s="66"/>
      <c r="CL24" s="66"/>
      <c r="CP24" s="294"/>
      <c r="CQ24" s="66"/>
      <c r="CR24" s="66"/>
      <c r="CS24" s="66"/>
      <c r="CT24" s="66"/>
      <c r="CU24" s="55"/>
      <c r="CV24" s="55"/>
      <c r="CW24" s="66"/>
      <c r="CY24" s="66"/>
      <c r="CZ24" s="66"/>
      <c r="DH24" s="66"/>
      <c r="DK24" s="66"/>
      <c r="DM24" s="55" t="str">
        <f>IF(COUNTIF(DM9:DM23,Data!JZ2),"Layout Code &amp; T Post Quantity Issue","")</f>
        <v/>
      </c>
      <c r="DN24" s="55"/>
      <c r="DO24" s="55"/>
      <c r="DP24" s="55"/>
      <c r="EC24" s="66"/>
      <c r="ED24" s="66"/>
      <c r="EE24" s="66"/>
    </row>
    <row r="25" spans="1:199" ht="29.25" customHeight="1" thickTop="1" thickBot="1">
      <c r="A25" s="140" t="s">
        <v>144</v>
      </c>
      <c r="B25" s="592" t="s">
        <v>642</v>
      </c>
      <c r="C25" s="593"/>
      <c r="D25" s="593"/>
      <c r="E25" s="594"/>
      <c r="F25" s="715" t="s">
        <v>643</v>
      </c>
      <c r="G25" s="715"/>
      <c r="H25" s="715"/>
      <c r="I25" s="715"/>
      <c r="J25" s="715"/>
      <c r="K25" s="592" t="s">
        <v>788</v>
      </c>
      <c r="L25" s="593"/>
      <c r="M25" s="594"/>
      <c r="N25" s="592" t="s">
        <v>790</v>
      </c>
      <c r="O25" s="593"/>
      <c r="P25" s="593"/>
      <c r="Q25" s="593"/>
      <c r="R25" s="593"/>
      <c r="S25" s="593"/>
      <c r="T25" s="593"/>
      <c r="U25" s="594"/>
      <c r="V25" s="683" t="s">
        <v>161</v>
      </c>
      <c r="W25" s="683"/>
      <c r="X25" s="683"/>
      <c r="Y25" s="683"/>
      <c r="Z25" s="683"/>
      <c r="AA25" s="683"/>
      <c r="AB25" s="683"/>
      <c r="AC25" s="683"/>
      <c r="AD25" s="684"/>
      <c r="AE25" s="685"/>
      <c r="AF25" s="57"/>
      <c r="AG25" s="57"/>
      <c r="AH25" s="84"/>
      <c r="BB25" s="66"/>
      <c r="BD25" s="66"/>
      <c r="BF25" s="66"/>
      <c r="BJ25" s="66"/>
      <c r="BK25" s="55"/>
      <c r="BV25" s="66"/>
      <c r="BW25" s="66"/>
      <c r="CA25" s="66"/>
      <c r="CF25" s="66"/>
      <c r="CG25" s="66"/>
      <c r="CJ25" s="66"/>
      <c r="CK25" s="66"/>
      <c r="CL25" s="66"/>
      <c r="CP25" s="294"/>
      <c r="CQ25" s="66"/>
      <c r="CR25" s="66"/>
      <c r="CS25" s="66"/>
      <c r="CT25" s="66"/>
      <c r="CU25" s="55"/>
      <c r="CV25" s="55"/>
      <c r="CW25" s="66"/>
      <c r="CY25" s="66"/>
      <c r="CZ25" s="66"/>
      <c r="DH25" s="66"/>
      <c r="DK25" s="66"/>
      <c r="DN25" s="55"/>
      <c r="DO25" s="55"/>
      <c r="DP25" s="55"/>
      <c r="EC25" s="66"/>
      <c r="ED25" s="66"/>
      <c r="EE25" s="66"/>
    </row>
    <row r="26" spans="1:199" ht="18" customHeight="1" thickTop="1">
      <c r="A26" s="129">
        <v>1</v>
      </c>
      <c r="B26" s="609"/>
      <c r="C26" s="609"/>
      <c r="D26" s="609"/>
      <c r="E26" s="609"/>
      <c r="F26" s="604"/>
      <c r="G26" s="604"/>
      <c r="H26" s="604"/>
      <c r="I26" s="604"/>
      <c r="J26" s="605"/>
      <c r="K26" s="612"/>
      <c r="L26" s="612"/>
      <c r="M26" s="612"/>
      <c r="N26" s="612"/>
      <c r="O26" s="612"/>
      <c r="P26" s="612"/>
      <c r="Q26" s="612"/>
      <c r="R26" s="612"/>
      <c r="S26" s="612"/>
      <c r="T26" s="612"/>
      <c r="U26" s="612"/>
      <c r="V26" s="662"/>
      <c r="W26" s="663"/>
      <c r="X26" s="663"/>
      <c r="Y26" s="663"/>
      <c r="Z26" s="663"/>
      <c r="AA26" s="663"/>
      <c r="AB26" s="663"/>
      <c r="AC26" s="663"/>
      <c r="AD26" s="663"/>
      <c r="AE26" s="664"/>
      <c r="AF26" s="58"/>
      <c r="AG26" s="58"/>
      <c r="AH26" s="84"/>
      <c r="BA26" s="368" t="e">
        <f>VLOOKUP(H43,Data!$FF$76:$FG$137,2,FALSE)</f>
        <v>#N/A</v>
      </c>
      <c r="BB26" s="66"/>
      <c r="BD26" s="66"/>
      <c r="BF26" s="66"/>
      <c r="BJ26" s="66"/>
      <c r="BK26" s="55"/>
      <c r="BV26" s="66"/>
      <c r="BW26" s="66"/>
      <c r="CA26" s="66"/>
      <c r="CF26" s="66"/>
      <c r="CG26" s="66"/>
      <c r="CJ26" s="66"/>
      <c r="CK26" s="66"/>
      <c r="CL26" s="66"/>
      <c r="CP26" s="294"/>
      <c r="CQ26" s="66"/>
      <c r="CR26" s="66"/>
      <c r="CS26" s="66"/>
      <c r="CT26" s="66"/>
      <c r="CU26" s="55"/>
      <c r="CV26" s="55"/>
      <c r="CW26" s="66"/>
      <c r="CY26" s="66"/>
      <c r="CZ26" s="66"/>
      <c r="DH26" s="66"/>
      <c r="DK26" s="66"/>
      <c r="DN26" s="55"/>
      <c r="DO26" s="55"/>
      <c r="DP26" s="55"/>
      <c r="EC26" s="66"/>
      <c r="ED26" s="66"/>
      <c r="EE26" s="66"/>
    </row>
    <row r="27" spans="1:199" ht="18" customHeight="1">
      <c r="A27" s="130">
        <v>2</v>
      </c>
      <c r="B27" s="609"/>
      <c r="C27" s="609"/>
      <c r="D27" s="609"/>
      <c r="E27" s="609"/>
      <c r="F27" s="604"/>
      <c r="G27" s="604"/>
      <c r="H27" s="604"/>
      <c r="I27" s="604"/>
      <c r="J27" s="605"/>
      <c r="K27" s="595"/>
      <c r="L27" s="595"/>
      <c r="M27" s="595"/>
      <c r="N27" s="595"/>
      <c r="O27" s="595"/>
      <c r="P27" s="595"/>
      <c r="Q27" s="595"/>
      <c r="R27" s="595"/>
      <c r="S27" s="595"/>
      <c r="T27" s="595"/>
      <c r="U27" s="595"/>
      <c r="V27" s="665"/>
      <c r="W27" s="666"/>
      <c r="X27" s="666"/>
      <c r="Y27" s="666"/>
      <c r="Z27" s="666"/>
      <c r="AA27" s="666"/>
      <c r="AB27" s="666"/>
      <c r="AC27" s="666"/>
      <c r="AD27" s="666"/>
      <c r="AE27" s="667"/>
      <c r="AF27" s="58"/>
      <c r="AG27" s="58"/>
      <c r="AH27" s="84"/>
      <c r="BA27" s="368" t="e">
        <f>VLOOKUP(H44,Data!$FF$76:$FG$137,2,FALSE)</f>
        <v>#N/A</v>
      </c>
      <c r="BB27" s="66"/>
      <c r="BD27" s="66"/>
      <c r="BF27" s="66"/>
      <c r="BJ27" s="66"/>
      <c r="BK27" s="55"/>
      <c r="BV27" s="66"/>
      <c r="BW27" s="66"/>
      <c r="CA27" s="66"/>
      <c r="CF27" s="66"/>
      <c r="CG27" s="66"/>
      <c r="CJ27" s="66"/>
      <c r="CK27" s="66"/>
      <c r="CL27" s="66"/>
      <c r="CP27" s="294"/>
      <c r="CQ27" s="66"/>
      <c r="CR27" s="66"/>
      <c r="CS27" s="66"/>
      <c r="CT27" s="66"/>
      <c r="CU27" s="55"/>
      <c r="CV27" s="55"/>
      <c r="CW27" s="66"/>
      <c r="CY27" s="66"/>
      <c r="CZ27" s="66"/>
      <c r="DH27" s="66"/>
      <c r="DK27" s="66"/>
      <c r="DN27" s="55"/>
      <c r="DO27" s="55"/>
      <c r="DP27" s="55"/>
      <c r="EC27" s="66"/>
      <c r="ED27" s="66"/>
      <c r="EE27" s="66"/>
    </row>
    <row r="28" spans="1:199" ht="18" customHeight="1">
      <c r="A28" s="130">
        <v>3</v>
      </c>
      <c r="B28" s="609"/>
      <c r="C28" s="609"/>
      <c r="D28" s="609"/>
      <c r="E28" s="609"/>
      <c r="F28" s="604"/>
      <c r="G28" s="604"/>
      <c r="H28" s="604"/>
      <c r="I28" s="604"/>
      <c r="J28" s="605"/>
      <c r="K28" s="595"/>
      <c r="L28" s="595"/>
      <c r="M28" s="595"/>
      <c r="N28" s="595"/>
      <c r="O28" s="595"/>
      <c r="P28" s="595"/>
      <c r="Q28" s="595"/>
      <c r="R28" s="595"/>
      <c r="S28" s="595"/>
      <c r="T28" s="595"/>
      <c r="U28" s="595"/>
      <c r="V28" s="665"/>
      <c r="W28" s="666"/>
      <c r="X28" s="666"/>
      <c r="Y28" s="666"/>
      <c r="Z28" s="666"/>
      <c r="AA28" s="666"/>
      <c r="AB28" s="666"/>
      <c r="AC28" s="666"/>
      <c r="AD28" s="666"/>
      <c r="AE28" s="667"/>
      <c r="AF28" s="58"/>
      <c r="AG28" s="58"/>
      <c r="AH28" s="84"/>
      <c r="BA28" s="368" t="e">
        <f>VLOOKUP(F45,Data!$FF$76:$FG$137,2,FALSE)</f>
        <v>#N/A</v>
      </c>
      <c r="BB28" s="66"/>
      <c r="BD28" s="66"/>
      <c r="BF28" s="66"/>
      <c r="BJ28" s="66"/>
      <c r="BK28" s="55"/>
      <c r="BV28" s="66"/>
      <c r="BW28" s="66"/>
      <c r="CA28" s="66"/>
      <c r="CF28" s="66"/>
      <c r="CG28" s="66"/>
      <c r="CJ28" s="66"/>
      <c r="CK28" s="66"/>
      <c r="CL28" s="66"/>
      <c r="CP28" s="294"/>
      <c r="CQ28" s="66"/>
      <c r="CR28" s="66"/>
      <c r="CS28" s="66"/>
      <c r="CT28" s="66"/>
      <c r="CU28" s="55"/>
      <c r="CV28" s="55"/>
      <c r="CW28" s="66"/>
      <c r="CY28" s="66"/>
      <c r="CZ28" s="66"/>
      <c r="DH28" s="66"/>
      <c r="DK28" s="66"/>
      <c r="DN28" s="55"/>
      <c r="DO28" s="55"/>
      <c r="DP28" s="55"/>
      <c r="EC28" s="66"/>
      <c r="ED28" s="66"/>
      <c r="EE28" s="66"/>
    </row>
    <row r="29" spans="1:199" ht="18" customHeight="1">
      <c r="A29" s="130">
        <v>4</v>
      </c>
      <c r="B29" s="609"/>
      <c r="C29" s="609"/>
      <c r="D29" s="609"/>
      <c r="E29" s="609"/>
      <c r="F29" s="604"/>
      <c r="G29" s="604"/>
      <c r="H29" s="604"/>
      <c r="I29" s="604"/>
      <c r="J29" s="605"/>
      <c r="K29" s="595"/>
      <c r="L29" s="595"/>
      <c r="M29" s="595"/>
      <c r="N29" s="595"/>
      <c r="O29" s="595"/>
      <c r="P29" s="595"/>
      <c r="Q29" s="595"/>
      <c r="R29" s="595"/>
      <c r="S29" s="595"/>
      <c r="T29" s="595"/>
      <c r="U29" s="595"/>
      <c r="V29" s="665"/>
      <c r="W29" s="666"/>
      <c r="X29" s="666"/>
      <c r="Y29" s="666"/>
      <c r="Z29" s="666"/>
      <c r="AA29" s="666"/>
      <c r="AB29" s="666"/>
      <c r="AC29" s="666"/>
      <c r="AD29" s="666"/>
      <c r="AE29" s="667"/>
      <c r="AF29" s="58"/>
      <c r="AG29" s="58"/>
      <c r="AH29" s="84"/>
      <c r="BA29" s="368" t="e">
        <f>VLOOKUP(H46,Data!$FF$76:$FG$137,2,FALSE)</f>
        <v>#N/A</v>
      </c>
      <c r="BB29" s="66"/>
      <c r="BD29" s="66"/>
      <c r="BF29" s="66"/>
      <c r="BJ29" s="66"/>
      <c r="BK29" s="55"/>
      <c r="BV29" s="66"/>
      <c r="BW29" s="66"/>
      <c r="CA29" s="66"/>
      <c r="CF29" s="66"/>
      <c r="CG29" s="66"/>
      <c r="CJ29" s="66"/>
      <c r="CK29" s="66"/>
      <c r="CL29" s="66"/>
      <c r="CP29" s="294"/>
      <c r="CQ29" s="66"/>
      <c r="CR29" s="66"/>
      <c r="CS29" s="66"/>
      <c r="CT29" s="66"/>
      <c r="CU29" s="55"/>
      <c r="CV29" s="55"/>
      <c r="CW29" s="66"/>
      <c r="CY29" s="66"/>
      <c r="CZ29" s="66"/>
      <c r="DH29" s="66"/>
      <c r="DK29" s="66"/>
      <c r="DN29" s="55"/>
      <c r="DO29" s="55"/>
      <c r="DP29" s="55"/>
      <c r="EC29" s="66"/>
      <c r="ED29" s="66"/>
      <c r="EE29" s="66"/>
    </row>
    <row r="30" spans="1:199" ht="18" customHeight="1">
      <c r="A30" s="130">
        <v>5</v>
      </c>
      <c r="B30" s="609"/>
      <c r="C30" s="609"/>
      <c r="D30" s="609"/>
      <c r="E30" s="609"/>
      <c r="F30" s="604"/>
      <c r="G30" s="604"/>
      <c r="H30" s="604"/>
      <c r="I30" s="604"/>
      <c r="J30" s="605"/>
      <c r="K30" s="595"/>
      <c r="L30" s="595"/>
      <c r="M30" s="595"/>
      <c r="N30" s="595"/>
      <c r="O30" s="595"/>
      <c r="P30" s="595"/>
      <c r="Q30" s="595"/>
      <c r="R30" s="595"/>
      <c r="S30" s="595"/>
      <c r="T30" s="595"/>
      <c r="U30" s="595"/>
      <c r="V30" s="665"/>
      <c r="W30" s="666"/>
      <c r="X30" s="666"/>
      <c r="Y30" s="666"/>
      <c r="Z30" s="666"/>
      <c r="AA30" s="666"/>
      <c r="AB30" s="666"/>
      <c r="AC30" s="666"/>
      <c r="AD30" s="666"/>
      <c r="AE30" s="667"/>
      <c r="AF30" s="58"/>
      <c r="AG30" s="58"/>
      <c r="AH30" s="84"/>
      <c r="BA30" s="368" t="e">
        <f>VLOOKUP(H47,Data!$FF$76:$FG$137,2,FALSE)</f>
        <v>#N/A</v>
      </c>
      <c r="BB30" s="66"/>
      <c r="BD30" s="66"/>
      <c r="BF30" s="66"/>
      <c r="BJ30" s="66"/>
      <c r="BK30" s="55"/>
      <c r="BV30" s="66"/>
      <c r="BW30" s="66"/>
      <c r="CA30" s="66"/>
      <c r="CF30" s="66"/>
      <c r="CG30" s="66"/>
      <c r="CJ30" s="66"/>
      <c r="CK30" s="66"/>
      <c r="CL30" s="66"/>
      <c r="CP30" s="294"/>
      <c r="CQ30" s="66"/>
      <c r="CR30" s="66"/>
      <c r="CS30" s="66"/>
      <c r="CT30" s="66"/>
      <c r="CU30" s="55"/>
      <c r="CV30" s="55"/>
      <c r="CW30" s="66"/>
      <c r="CY30" s="66"/>
      <c r="CZ30" s="66"/>
      <c r="DH30" s="66"/>
      <c r="DK30" s="66"/>
      <c r="DN30" s="55"/>
      <c r="DO30" s="55"/>
      <c r="DP30" s="55"/>
      <c r="EC30" s="66"/>
      <c r="ED30" s="66"/>
      <c r="EE30" s="66"/>
    </row>
    <row r="31" spans="1:199" ht="18" customHeight="1">
      <c r="A31" s="130">
        <v>6</v>
      </c>
      <c r="B31" s="609"/>
      <c r="C31" s="609"/>
      <c r="D31" s="609"/>
      <c r="E31" s="609"/>
      <c r="F31" s="604"/>
      <c r="G31" s="604"/>
      <c r="H31" s="604"/>
      <c r="I31" s="604"/>
      <c r="J31" s="605"/>
      <c r="K31" s="595"/>
      <c r="L31" s="595"/>
      <c r="M31" s="595"/>
      <c r="N31" s="595"/>
      <c r="O31" s="595"/>
      <c r="P31" s="595"/>
      <c r="Q31" s="595"/>
      <c r="R31" s="595"/>
      <c r="S31" s="595"/>
      <c r="T31" s="595"/>
      <c r="U31" s="595"/>
      <c r="V31" s="665"/>
      <c r="W31" s="666"/>
      <c r="X31" s="666"/>
      <c r="Y31" s="666"/>
      <c r="Z31" s="666"/>
      <c r="AA31" s="666"/>
      <c r="AB31" s="666"/>
      <c r="AC31" s="666"/>
      <c r="AD31" s="666"/>
      <c r="AE31" s="667"/>
      <c r="AF31" s="58"/>
      <c r="AG31" s="58"/>
      <c r="AH31" s="84"/>
      <c r="BA31" s="368" t="e">
        <f>VLOOKUP(H48,Data!$FF$76:$FG$137,2,FALSE)</f>
        <v>#N/A</v>
      </c>
      <c r="BB31" s="66"/>
      <c r="BD31" s="66"/>
      <c r="BF31" s="66"/>
      <c r="BJ31" s="66"/>
      <c r="BK31" s="55"/>
      <c r="BV31" s="66"/>
      <c r="BW31" s="66"/>
      <c r="CA31" s="66"/>
      <c r="CF31" s="66"/>
      <c r="CG31" s="66"/>
      <c r="CJ31" s="66"/>
      <c r="CK31" s="66"/>
      <c r="CL31" s="66"/>
      <c r="CP31" s="294"/>
      <c r="CQ31" s="66"/>
      <c r="CR31" s="66"/>
      <c r="CS31" s="66"/>
      <c r="CT31" s="66"/>
      <c r="CU31" s="55"/>
      <c r="CV31" s="55"/>
      <c r="CW31" s="66"/>
      <c r="CY31" s="66"/>
      <c r="CZ31" s="66"/>
      <c r="DH31" s="66"/>
      <c r="DK31" s="66"/>
      <c r="DN31" s="55"/>
      <c r="DO31" s="55"/>
      <c r="DP31" s="55"/>
      <c r="EC31" s="66"/>
      <c r="ED31" s="66"/>
      <c r="EE31" s="66"/>
    </row>
    <row r="32" spans="1:199" ht="18" customHeight="1">
      <c r="A32" s="130">
        <v>7</v>
      </c>
      <c r="B32" s="609"/>
      <c r="C32" s="609"/>
      <c r="D32" s="609"/>
      <c r="E32" s="609"/>
      <c r="F32" s="604"/>
      <c r="G32" s="604"/>
      <c r="H32" s="604"/>
      <c r="I32" s="604"/>
      <c r="J32" s="605"/>
      <c r="K32" s="595"/>
      <c r="L32" s="595"/>
      <c r="M32" s="595"/>
      <c r="N32" s="595"/>
      <c r="O32" s="595"/>
      <c r="P32" s="595"/>
      <c r="Q32" s="595"/>
      <c r="R32" s="595"/>
      <c r="S32" s="595"/>
      <c r="T32" s="595"/>
      <c r="U32" s="595"/>
      <c r="V32" s="665"/>
      <c r="W32" s="666"/>
      <c r="X32" s="666"/>
      <c r="Y32" s="666"/>
      <c r="Z32" s="666"/>
      <c r="AA32" s="666"/>
      <c r="AB32" s="666"/>
      <c r="AC32" s="666"/>
      <c r="AD32" s="666"/>
      <c r="AE32" s="667"/>
      <c r="AF32" s="58"/>
      <c r="AG32" s="58"/>
      <c r="AH32" s="84"/>
      <c r="BA32" s="368" t="e">
        <f>VLOOKUP(H49,Data!$FF$76:$FG$137,2,FALSE)</f>
        <v>#N/A</v>
      </c>
      <c r="BB32" s="66"/>
      <c r="BD32" s="66"/>
      <c r="BF32" s="66"/>
      <c r="BJ32" s="66"/>
      <c r="BK32" s="55"/>
      <c r="BV32" s="66"/>
      <c r="BW32" s="66"/>
      <c r="CA32" s="66"/>
      <c r="CF32" s="66"/>
      <c r="CG32" s="66"/>
      <c r="CJ32" s="66"/>
      <c r="CK32" s="66"/>
      <c r="CL32" s="66"/>
      <c r="CP32" s="294"/>
      <c r="CQ32" s="66"/>
      <c r="CR32" s="66"/>
      <c r="CS32" s="66"/>
      <c r="CT32" s="66"/>
      <c r="CU32" s="55"/>
      <c r="CV32" s="55"/>
      <c r="CW32" s="66"/>
      <c r="CY32" s="66"/>
      <c r="CZ32" s="66"/>
      <c r="DH32" s="66"/>
      <c r="DK32" s="66"/>
      <c r="DN32" s="55"/>
      <c r="DO32" s="55"/>
      <c r="DP32" s="55"/>
      <c r="EC32" s="66"/>
      <c r="ED32" s="66"/>
      <c r="EE32" s="66"/>
    </row>
    <row r="33" spans="1:135" ht="18" customHeight="1">
      <c r="A33" s="130">
        <v>8</v>
      </c>
      <c r="B33" s="609"/>
      <c r="C33" s="609"/>
      <c r="D33" s="609"/>
      <c r="E33" s="609"/>
      <c r="F33" s="604"/>
      <c r="G33" s="604"/>
      <c r="H33" s="604"/>
      <c r="I33" s="604"/>
      <c r="J33" s="605"/>
      <c r="K33" s="595"/>
      <c r="L33" s="595"/>
      <c r="M33" s="595"/>
      <c r="N33" s="595"/>
      <c r="O33" s="595"/>
      <c r="P33" s="595"/>
      <c r="Q33" s="595"/>
      <c r="R33" s="595"/>
      <c r="S33" s="595"/>
      <c r="T33" s="595"/>
      <c r="U33" s="595"/>
      <c r="V33" s="665"/>
      <c r="W33" s="666"/>
      <c r="X33" s="666"/>
      <c r="Y33" s="666"/>
      <c r="Z33" s="666"/>
      <c r="AA33" s="666"/>
      <c r="AB33" s="666"/>
      <c r="AC33" s="666"/>
      <c r="AD33" s="666"/>
      <c r="AE33" s="667"/>
      <c r="AF33" s="58"/>
      <c r="AG33" s="58"/>
      <c r="AH33" s="84"/>
      <c r="BA33" s="368" t="e">
        <f>VLOOKUP(H50,Data!$FF$76:$FG$137,2,FALSE)</f>
        <v>#N/A</v>
      </c>
      <c r="BB33" s="66"/>
      <c r="BD33" s="66"/>
      <c r="BF33" s="66"/>
      <c r="BJ33" s="66"/>
      <c r="BK33" s="55"/>
      <c r="BV33" s="66"/>
      <c r="BW33" s="66"/>
      <c r="CA33" s="66"/>
      <c r="CF33" s="66"/>
      <c r="CG33" s="66"/>
      <c r="CJ33" s="66"/>
      <c r="CK33" s="66"/>
      <c r="CL33" s="66"/>
      <c r="CP33" s="294"/>
      <c r="CQ33" s="66"/>
      <c r="CR33" s="66"/>
      <c r="CS33" s="66"/>
      <c r="CT33" s="66"/>
      <c r="CU33" s="55"/>
      <c r="CV33" s="55"/>
      <c r="CW33" s="66"/>
      <c r="CY33" s="66"/>
      <c r="CZ33" s="66"/>
      <c r="DH33" s="66"/>
      <c r="DK33" s="66"/>
      <c r="DN33" s="55"/>
      <c r="DO33" s="55"/>
      <c r="DP33" s="55"/>
      <c r="EC33" s="66"/>
      <c r="ED33" s="66"/>
      <c r="EE33" s="66"/>
    </row>
    <row r="34" spans="1:135" ht="18" customHeight="1">
      <c r="A34" s="130">
        <v>9</v>
      </c>
      <c r="B34" s="609"/>
      <c r="C34" s="609"/>
      <c r="D34" s="609"/>
      <c r="E34" s="609"/>
      <c r="F34" s="604"/>
      <c r="G34" s="604"/>
      <c r="H34" s="604"/>
      <c r="I34" s="604"/>
      <c r="J34" s="605"/>
      <c r="K34" s="595"/>
      <c r="L34" s="595"/>
      <c r="M34" s="595"/>
      <c r="N34" s="595"/>
      <c r="O34" s="595"/>
      <c r="P34" s="595"/>
      <c r="Q34" s="595"/>
      <c r="R34" s="595"/>
      <c r="S34" s="595"/>
      <c r="T34" s="595"/>
      <c r="U34" s="595"/>
      <c r="V34" s="665"/>
      <c r="W34" s="666"/>
      <c r="X34" s="666"/>
      <c r="Y34" s="666"/>
      <c r="Z34" s="666"/>
      <c r="AA34" s="666"/>
      <c r="AB34" s="666"/>
      <c r="AC34" s="666"/>
      <c r="AD34" s="666"/>
      <c r="AE34" s="667"/>
      <c r="AF34" s="58"/>
      <c r="AG34" s="58"/>
      <c r="AH34" s="84"/>
      <c r="BA34" s="368" t="e">
        <f>VLOOKUP(H51,Data!$FF$76:$FG$137,2,FALSE)</f>
        <v>#N/A</v>
      </c>
      <c r="BB34" s="66"/>
      <c r="BD34" s="66"/>
      <c r="BF34" s="66"/>
      <c r="BJ34" s="66"/>
      <c r="BK34" s="55"/>
      <c r="BV34" s="66"/>
      <c r="BW34" s="66"/>
      <c r="CA34" s="66"/>
      <c r="CF34" s="66"/>
      <c r="CG34" s="66"/>
      <c r="CJ34" s="66"/>
      <c r="CK34" s="66"/>
      <c r="CL34" s="66"/>
      <c r="CP34" s="294"/>
      <c r="CQ34" s="66"/>
      <c r="CR34" s="66"/>
      <c r="CS34" s="66"/>
      <c r="CT34" s="66"/>
      <c r="CU34" s="55"/>
      <c r="CV34" s="55"/>
      <c r="CW34" s="66"/>
      <c r="CY34" s="66"/>
      <c r="CZ34" s="66"/>
      <c r="DH34" s="66"/>
      <c r="DK34" s="66"/>
      <c r="DN34" s="55"/>
      <c r="DO34" s="55"/>
      <c r="DP34" s="55"/>
      <c r="EC34" s="66"/>
      <c r="ED34" s="66"/>
      <c r="EE34" s="66"/>
    </row>
    <row r="35" spans="1:135" ht="18" customHeight="1">
      <c r="A35" s="130">
        <v>10</v>
      </c>
      <c r="B35" s="609"/>
      <c r="C35" s="609"/>
      <c r="D35" s="609"/>
      <c r="E35" s="609"/>
      <c r="F35" s="604"/>
      <c r="G35" s="604"/>
      <c r="H35" s="604"/>
      <c r="I35" s="604"/>
      <c r="J35" s="605"/>
      <c r="K35" s="595"/>
      <c r="L35" s="595"/>
      <c r="M35" s="595"/>
      <c r="N35" s="595"/>
      <c r="O35" s="595"/>
      <c r="P35" s="595"/>
      <c r="Q35" s="595"/>
      <c r="R35" s="595"/>
      <c r="S35" s="595"/>
      <c r="T35" s="595"/>
      <c r="U35" s="595"/>
      <c r="V35" s="665"/>
      <c r="W35" s="666"/>
      <c r="X35" s="666"/>
      <c r="Y35" s="666"/>
      <c r="Z35" s="666"/>
      <c r="AA35" s="666"/>
      <c r="AB35" s="666"/>
      <c r="AC35" s="666"/>
      <c r="AD35" s="666"/>
      <c r="AE35" s="667"/>
      <c r="AF35" s="58"/>
      <c r="AG35" s="58"/>
      <c r="AH35" s="84"/>
      <c r="BA35" s="368" t="e">
        <f>VLOOKUP(H52,Data!$FF$76:$FG$137,2,FALSE)</f>
        <v>#N/A</v>
      </c>
      <c r="BB35" s="66"/>
      <c r="BD35" s="66"/>
      <c r="BF35" s="66"/>
      <c r="BJ35" s="66"/>
      <c r="BK35" s="55"/>
      <c r="BV35" s="66"/>
      <c r="BW35" s="66"/>
      <c r="CA35" s="66"/>
      <c r="CF35" s="66"/>
      <c r="CG35" s="66"/>
      <c r="CJ35" s="66"/>
      <c r="CK35" s="66"/>
      <c r="CL35" s="66"/>
      <c r="CP35" s="294"/>
      <c r="CQ35" s="66"/>
      <c r="CR35" s="66"/>
      <c r="CS35" s="66"/>
      <c r="CT35" s="66"/>
      <c r="CU35" s="55"/>
      <c r="CV35" s="55"/>
      <c r="CW35" s="66"/>
      <c r="CY35" s="66"/>
      <c r="CZ35" s="66"/>
      <c r="DH35" s="66"/>
      <c r="DK35" s="66"/>
      <c r="DN35" s="55"/>
      <c r="DO35" s="55"/>
      <c r="DP35" s="55"/>
      <c r="EC35" s="66"/>
      <c r="ED35" s="66"/>
      <c r="EE35" s="66"/>
    </row>
    <row r="36" spans="1:135" ht="18" customHeight="1">
      <c r="A36" s="130">
        <v>11</v>
      </c>
      <c r="B36" s="609"/>
      <c r="C36" s="609"/>
      <c r="D36" s="609"/>
      <c r="E36" s="609"/>
      <c r="F36" s="604"/>
      <c r="G36" s="604"/>
      <c r="H36" s="604"/>
      <c r="I36" s="604"/>
      <c r="J36" s="605"/>
      <c r="K36" s="595"/>
      <c r="L36" s="595"/>
      <c r="M36" s="595"/>
      <c r="N36" s="595"/>
      <c r="O36" s="595"/>
      <c r="P36" s="595"/>
      <c r="Q36" s="595"/>
      <c r="R36" s="595"/>
      <c r="S36" s="595"/>
      <c r="T36" s="595"/>
      <c r="U36" s="595"/>
      <c r="V36" s="665"/>
      <c r="W36" s="666"/>
      <c r="X36" s="666"/>
      <c r="Y36" s="666"/>
      <c r="Z36" s="666"/>
      <c r="AA36" s="666"/>
      <c r="AB36" s="666"/>
      <c r="AC36" s="666"/>
      <c r="AD36" s="666"/>
      <c r="AE36" s="667"/>
      <c r="AF36" s="58"/>
      <c r="AG36" s="58"/>
      <c r="AH36" s="84"/>
      <c r="BB36" s="66"/>
      <c r="BD36" s="66"/>
      <c r="BF36" s="66"/>
      <c r="BJ36" s="66"/>
      <c r="BK36" s="55"/>
      <c r="BV36" s="66"/>
      <c r="BW36" s="66"/>
      <c r="CA36" s="66"/>
      <c r="CF36" s="66"/>
      <c r="CG36" s="66"/>
      <c r="CJ36" s="66"/>
      <c r="CK36" s="66"/>
      <c r="CL36" s="66"/>
      <c r="CP36" s="294"/>
      <c r="CQ36" s="66"/>
      <c r="CR36" s="66"/>
      <c r="CS36" s="66"/>
      <c r="CT36" s="66"/>
      <c r="CU36" s="55"/>
      <c r="CV36" s="55"/>
      <c r="CW36" s="66"/>
      <c r="CY36" s="66"/>
      <c r="CZ36" s="66"/>
      <c r="DH36" s="66"/>
      <c r="DK36" s="66"/>
      <c r="DN36" s="55"/>
      <c r="DO36" s="55"/>
      <c r="DP36" s="55"/>
      <c r="EC36" s="66"/>
      <c r="ED36" s="66"/>
      <c r="EE36" s="66"/>
    </row>
    <row r="37" spans="1:135" ht="18" customHeight="1">
      <c r="A37" s="130">
        <v>12</v>
      </c>
      <c r="B37" s="609"/>
      <c r="C37" s="609"/>
      <c r="D37" s="609"/>
      <c r="E37" s="609"/>
      <c r="F37" s="604"/>
      <c r="G37" s="604"/>
      <c r="H37" s="604"/>
      <c r="I37" s="604"/>
      <c r="J37" s="605"/>
      <c r="K37" s="595"/>
      <c r="L37" s="595"/>
      <c r="M37" s="595"/>
      <c r="N37" s="595"/>
      <c r="O37" s="595"/>
      <c r="P37" s="595"/>
      <c r="Q37" s="595"/>
      <c r="R37" s="595"/>
      <c r="S37" s="595"/>
      <c r="T37" s="595"/>
      <c r="U37" s="595"/>
      <c r="V37" s="665"/>
      <c r="W37" s="666"/>
      <c r="X37" s="666"/>
      <c r="Y37" s="666"/>
      <c r="Z37" s="666"/>
      <c r="AA37" s="666"/>
      <c r="AB37" s="666"/>
      <c r="AC37" s="666"/>
      <c r="AD37" s="666"/>
      <c r="AE37" s="667"/>
      <c r="AF37" s="58"/>
      <c r="AG37" s="58"/>
      <c r="AH37" s="84"/>
      <c r="BB37" s="66"/>
      <c r="BD37" s="66"/>
      <c r="BF37" s="66"/>
      <c r="BJ37" s="66"/>
      <c r="BK37" s="55"/>
      <c r="BV37" s="66"/>
      <c r="BW37" s="66"/>
      <c r="CA37" s="66"/>
      <c r="CF37" s="66"/>
      <c r="CG37" s="66"/>
      <c r="CJ37" s="66"/>
      <c r="CK37" s="66"/>
      <c r="CL37" s="66"/>
      <c r="CP37" s="294"/>
      <c r="CQ37" s="66"/>
      <c r="CR37" s="66"/>
      <c r="CS37" s="66"/>
      <c r="CT37" s="66"/>
      <c r="CU37" s="55"/>
      <c r="CV37" s="55"/>
      <c r="CW37" s="66"/>
      <c r="CY37" s="66"/>
      <c r="CZ37" s="66"/>
      <c r="DH37" s="66"/>
      <c r="DK37" s="66"/>
      <c r="DN37" s="55"/>
      <c r="DO37" s="55"/>
      <c r="DP37" s="55"/>
      <c r="EC37" s="66"/>
      <c r="ED37" s="66"/>
      <c r="EE37" s="66"/>
    </row>
    <row r="38" spans="1:135" ht="18" customHeight="1">
      <c r="A38" s="130">
        <v>13</v>
      </c>
      <c r="B38" s="609"/>
      <c r="C38" s="609"/>
      <c r="D38" s="609"/>
      <c r="E38" s="609"/>
      <c r="F38" s="604"/>
      <c r="G38" s="604"/>
      <c r="H38" s="604"/>
      <c r="I38" s="604"/>
      <c r="J38" s="605"/>
      <c r="K38" s="595"/>
      <c r="L38" s="595"/>
      <c r="M38" s="595"/>
      <c r="N38" s="595"/>
      <c r="O38" s="595"/>
      <c r="P38" s="595"/>
      <c r="Q38" s="595"/>
      <c r="R38" s="595"/>
      <c r="S38" s="595"/>
      <c r="T38" s="595"/>
      <c r="U38" s="595"/>
      <c r="V38" s="665"/>
      <c r="W38" s="666"/>
      <c r="X38" s="666"/>
      <c r="Y38" s="666"/>
      <c r="Z38" s="666"/>
      <c r="AA38" s="666"/>
      <c r="AB38" s="666"/>
      <c r="AC38" s="666"/>
      <c r="AD38" s="666"/>
      <c r="AE38" s="667"/>
      <c r="AF38" s="58"/>
      <c r="AG38" s="58"/>
      <c r="AH38" s="84"/>
      <c r="BB38" s="66"/>
      <c r="BD38" s="66"/>
      <c r="BF38" s="66"/>
      <c r="BJ38" s="66"/>
      <c r="BK38" s="55"/>
      <c r="BV38" s="66"/>
      <c r="BW38" s="66"/>
      <c r="CA38" s="66"/>
      <c r="CF38" s="66"/>
      <c r="CG38" s="66"/>
      <c r="CJ38" s="66"/>
      <c r="CK38" s="66"/>
      <c r="CL38" s="66"/>
      <c r="CP38" s="294"/>
      <c r="CQ38" s="66"/>
      <c r="CR38" s="66"/>
      <c r="CS38" s="66"/>
      <c r="CT38" s="66"/>
      <c r="CU38" s="55"/>
      <c r="CV38" s="55"/>
      <c r="CW38" s="66"/>
      <c r="CY38" s="66"/>
      <c r="CZ38" s="66"/>
      <c r="DH38" s="66"/>
      <c r="DK38" s="66"/>
      <c r="DN38" s="55"/>
      <c r="DO38" s="55"/>
      <c r="DP38" s="55"/>
      <c r="EC38" s="66"/>
      <c r="ED38" s="66"/>
      <c r="EE38" s="66"/>
    </row>
    <row r="39" spans="1:135" ht="18" customHeight="1">
      <c r="A39" s="130">
        <v>14</v>
      </c>
      <c r="B39" s="609"/>
      <c r="C39" s="609"/>
      <c r="D39" s="609"/>
      <c r="E39" s="609"/>
      <c r="F39" s="604"/>
      <c r="G39" s="604"/>
      <c r="H39" s="604"/>
      <c r="I39" s="604"/>
      <c r="J39" s="605"/>
      <c r="K39" s="595"/>
      <c r="L39" s="595"/>
      <c r="M39" s="595"/>
      <c r="N39" s="595"/>
      <c r="O39" s="595"/>
      <c r="P39" s="595"/>
      <c r="Q39" s="595"/>
      <c r="R39" s="595"/>
      <c r="S39" s="595"/>
      <c r="T39" s="595"/>
      <c r="U39" s="595"/>
      <c r="V39" s="665"/>
      <c r="W39" s="666"/>
      <c r="X39" s="666"/>
      <c r="Y39" s="666"/>
      <c r="Z39" s="666"/>
      <c r="AA39" s="666"/>
      <c r="AB39" s="666"/>
      <c r="AC39" s="666"/>
      <c r="AD39" s="666"/>
      <c r="AE39" s="667"/>
      <c r="AF39" s="58"/>
      <c r="AG39" s="58"/>
      <c r="AH39" s="84"/>
      <c r="BB39" s="66"/>
      <c r="BD39" s="66"/>
      <c r="BF39" s="66"/>
      <c r="BJ39" s="66"/>
      <c r="BK39" s="55"/>
      <c r="BV39" s="66"/>
      <c r="BW39" s="66"/>
      <c r="CA39" s="66"/>
      <c r="CF39" s="66"/>
      <c r="CG39" s="66"/>
      <c r="CJ39" s="66"/>
      <c r="CK39" s="66"/>
      <c r="CL39" s="66"/>
      <c r="CP39" s="294"/>
      <c r="CQ39" s="66"/>
      <c r="CR39" s="66"/>
      <c r="CS39" s="66"/>
      <c r="CT39" s="66"/>
      <c r="CU39" s="55"/>
      <c r="CV39" s="55"/>
      <c r="CW39" s="66"/>
      <c r="CY39" s="66"/>
      <c r="CZ39" s="66"/>
      <c r="DH39" s="66"/>
      <c r="DK39" s="66"/>
      <c r="DN39" s="55"/>
      <c r="DO39" s="55"/>
      <c r="DP39" s="55"/>
      <c r="EC39" s="66"/>
      <c r="ED39" s="66"/>
      <c r="EE39" s="66"/>
    </row>
    <row r="40" spans="1:135" ht="18" customHeight="1" thickBot="1">
      <c r="A40" s="131">
        <v>15</v>
      </c>
      <c r="B40" s="609"/>
      <c r="C40" s="609"/>
      <c r="D40" s="609"/>
      <c r="E40" s="609"/>
      <c r="F40" s="604"/>
      <c r="G40" s="604"/>
      <c r="H40" s="604"/>
      <c r="I40" s="604"/>
      <c r="J40" s="605"/>
      <c r="K40" s="682"/>
      <c r="L40" s="682"/>
      <c r="M40" s="682"/>
      <c r="N40" s="682"/>
      <c r="O40" s="682"/>
      <c r="P40" s="682"/>
      <c r="Q40" s="682"/>
      <c r="R40" s="682"/>
      <c r="S40" s="682"/>
      <c r="T40" s="682"/>
      <c r="U40" s="682"/>
      <c r="V40" s="668"/>
      <c r="W40" s="669"/>
      <c r="X40" s="669"/>
      <c r="Y40" s="669"/>
      <c r="Z40" s="669"/>
      <c r="AA40" s="669"/>
      <c r="AB40" s="669"/>
      <c r="AC40" s="669"/>
      <c r="AD40" s="669"/>
      <c r="AE40" s="670"/>
      <c r="AF40" s="58"/>
      <c r="AG40" s="58"/>
      <c r="BB40" s="66"/>
      <c r="BD40" s="66"/>
      <c r="BF40" s="66"/>
      <c r="BJ40" s="66"/>
      <c r="BK40" s="55"/>
      <c r="BV40" s="66"/>
      <c r="BW40" s="66"/>
      <c r="CA40" s="66"/>
      <c r="CF40" s="66"/>
      <c r="CG40" s="66"/>
      <c r="CJ40" s="66"/>
      <c r="CK40" s="66"/>
      <c r="CL40" s="66"/>
      <c r="CP40" s="294"/>
      <c r="CQ40" s="66"/>
      <c r="CR40" s="66"/>
      <c r="CS40" s="66"/>
      <c r="CT40" s="66"/>
      <c r="CU40" s="55"/>
      <c r="CV40" s="55"/>
      <c r="CW40" s="66"/>
      <c r="CY40" s="66"/>
      <c r="CZ40" s="66"/>
      <c r="DH40" s="66"/>
      <c r="DK40" s="66"/>
      <c r="DN40" s="55"/>
      <c r="DO40" s="55"/>
      <c r="DP40" s="55"/>
      <c r="EC40" s="66"/>
      <c r="ED40" s="66"/>
      <c r="EE40" s="66"/>
    </row>
    <row r="41" spans="1:135" ht="16.5" thickTop="1" thickBot="1">
      <c r="A41" s="85"/>
      <c r="B41" s="606" t="s">
        <v>961</v>
      </c>
      <c r="C41" s="606"/>
      <c r="D41" s="606"/>
      <c r="E41" s="606"/>
      <c r="F41" s="606"/>
      <c r="G41" s="606"/>
      <c r="H41" s="606"/>
      <c r="I41" s="606"/>
      <c r="J41" s="171"/>
      <c r="K41" s="171"/>
      <c r="L41" s="171"/>
      <c r="M41" s="171"/>
      <c r="N41" s="171"/>
      <c r="O41" s="171"/>
      <c r="P41" s="171"/>
      <c r="Q41" s="171"/>
      <c r="R41" s="171"/>
      <c r="S41" s="128"/>
      <c r="T41" s="128"/>
      <c r="U41" s="128"/>
      <c r="V41" s="128"/>
      <c r="W41" s="128"/>
      <c r="X41" s="128"/>
      <c r="Y41" s="58"/>
      <c r="Z41" s="58"/>
      <c r="AA41" s="58"/>
      <c r="AB41" s="58"/>
      <c r="AC41" s="58"/>
      <c r="AD41" s="58"/>
      <c r="AE41" s="58"/>
      <c r="AF41" s="58"/>
      <c r="AG41" s="58"/>
      <c r="AH41" s="58"/>
      <c r="BB41" s="66"/>
      <c r="BD41" s="66"/>
      <c r="BF41" s="66"/>
      <c r="BJ41" s="66"/>
      <c r="BK41" s="55"/>
      <c r="BV41" s="66"/>
      <c r="BW41" s="66"/>
      <c r="CA41" s="66"/>
      <c r="CF41" s="66"/>
      <c r="CG41" s="66"/>
      <c r="CJ41" s="66"/>
      <c r="CK41" s="66"/>
      <c r="CL41" s="66"/>
      <c r="CP41" s="294"/>
      <c r="CQ41" s="66"/>
      <c r="CR41" s="66"/>
      <c r="CS41" s="66"/>
      <c r="CT41" s="66"/>
      <c r="CU41" s="55"/>
      <c r="CV41" s="55"/>
      <c r="CW41" s="66"/>
      <c r="CY41" s="66"/>
      <c r="CZ41" s="66"/>
      <c r="DH41" s="66"/>
      <c r="DK41" s="66"/>
      <c r="DN41" s="55"/>
      <c r="DO41" s="55"/>
      <c r="DP41" s="55"/>
      <c r="EC41" s="66"/>
      <c r="ED41" s="66"/>
      <c r="EE41" s="66"/>
    </row>
    <row r="42" spans="1:135" s="193" customFormat="1" ht="30.75" thickBot="1">
      <c r="A42" s="218" t="s">
        <v>962</v>
      </c>
      <c r="B42" s="219" t="s">
        <v>726</v>
      </c>
      <c r="C42" s="220" t="s">
        <v>733</v>
      </c>
      <c r="D42" s="659" t="s">
        <v>873</v>
      </c>
      <c r="E42" s="659"/>
      <c r="F42" s="651" t="s">
        <v>728</v>
      </c>
      <c r="G42" s="652"/>
      <c r="H42" s="652"/>
      <c r="I42" s="652"/>
      <c r="J42" s="653"/>
      <c r="K42" s="709" t="s">
        <v>150</v>
      </c>
      <c r="L42" s="709"/>
      <c r="M42" s="221" t="s">
        <v>726</v>
      </c>
      <c r="N42" s="586" t="s">
        <v>873</v>
      </c>
      <c r="O42" s="587"/>
      <c r="P42" s="588"/>
      <c r="Q42" s="610" t="s">
        <v>727</v>
      </c>
      <c r="R42" s="610"/>
      <c r="S42" s="610"/>
      <c r="T42" s="610"/>
      <c r="U42" s="588"/>
      <c r="V42" s="641" t="s">
        <v>150</v>
      </c>
      <c r="W42" s="641"/>
      <c r="X42" s="641"/>
      <c r="Y42" s="641"/>
      <c r="Z42" s="641"/>
      <c r="AA42" s="642" t="s">
        <v>777</v>
      </c>
      <c r="AB42" s="642"/>
      <c r="AC42" s="642"/>
      <c r="AD42" s="643"/>
      <c r="AE42" s="644"/>
      <c r="AF42" s="222"/>
      <c r="AG42" s="222"/>
      <c r="AH42" s="222"/>
      <c r="CP42" s="367"/>
    </row>
    <row r="43" spans="1:135" ht="15" customHeight="1" thickTop="1">
      <c r="A43" s="141">
        <v>1</v>
      </c>
      <c r="B43" s="216"/>
      <c r="C43" s="145"/>
      <c r="D43" s="607"/>
      <c r="E43" s="607"/>
      <c r="F43" s="654"/>
      <c r="G43" s="655"/>
      <c r="H43" s="655"/>
      <c r="I43" s="655"/>
      <c r="J43" s="656"/>
      <c r="K43" s="658"/>
      <c r="L43" s="658"/>
      <c r="M43" s="143"/>
      <c r="N43" s="583"/>
      <c r="O43" s="584"/>
      <c r="P43" s="585"/>
      <c r="Q43" s="580"/>
      <c r="R43" s="581"/>
      <c r="S43" s="581"/>
      <c r="T43" s="581"/>
      <c r="U43" s="582"/>
      <c r="V43" s="649"/>
      <c r="W43" s="649"/>
      <c r="X43" s="649"/>
      <c r="Y43" s="649"/>
      <c r="Z43" s="649"/>
      <c r="AA43" s="645"/>
      <c r="AB43" s="646"/>
      <c r="AC43" s="646"/>
      <c r="AD43" s="647"/>
      <c r="AE43" s="648"/>
      <c r="AF43" s="58"/>
      <c r="AG43" s="58"/>
      <c r="AH43" s="58"/>
      <c r="AM43" s="55" t="b">
        <f>IF(D43=Data!$FB$74,Data!$FF$158,IF(D43=Data!$FB$75,Data!$FE$158))</f>
        <v>0</v>
      </c>
      <c r="AO43" s="55" t="b">
        <f>IF(N43=Data!$HX$94,Data!$HX$95,IF(N43=Data!$HY$94,Data!$HY$95))</f>
        <v>0</v>
      </c>
      <c r="AV43" s="86"/>
      <c r="BA43" s="294" t="str">
        <f>IF(OR(AND(D43="Timber",H43="Large Z Frame")),"NonStandard", "Standard" )</f>
        <v>Standard</v>
      </c>
      <c r="BB43" s="294" t="b">
        <f>IF(D43=Data!$KC$1,Data!$KC$2,IF(D43=Data!$KD$1,Data!$KD$2))</f>
        <v>0</v>
      </c>
      <c r="BC43" s="294" t="b">
        <f>IF(D43="Timber",Data!$IX$2,IF(D43="Fauxwood",Data!$IY$2))</f>
        <v>0</v>
      </c>
      <c r="BD43" s="66"/>
      <c r="BF43" s="369" t="e">
        <f>VLOOKUP(Q43,Data!$HX$56:$HY$89,2,FALSE)</f>
        <v>#N/A</v>
      </c>
      <c r="BJ43" s="66"/>
      <c r="BK43" s="55"/>
      <c r="BV43" s="66"/>
      <c r="BW43" s="66"/>
      <c r="CA43" s="66"/>
      <c r="CF43" s="66"/>
      <c r="CG43" s="66"/>
      <c r="CJ43" s="66"/>
      <c r="CK43" s="66"/>
      <c r="CL43" s="66"/>
      <c r="CP43" s="294"/>
      <c r="CQ43" s="66"/>
      <c r="CR43" s="66"/>
      <c r="CS43" s="66"/>
      <c r="CT43" s="66"/>
      <c r="CU43" s="55"/>
      <c r="CV43" s="55"/>
      <c r="CW43" s="66"/>
      <c r="CY43" s="66"/>
      <c r="CZ43" s="66"/>
      <c r="DH43" s="66"/>
      <c r="DK43" s="66"/>
      <c r="DN43" s="55"/>
      <c r="DO43" s="55"/>
      <c r="DP43" s="55"/>
      <c r="EC43" s="66"/>
      <c r="ED43" s="66"/>
      <c r="EE43" s="66"/>
    </row>
    <row r="44" spans="1:135" ht="15" customHeight="1">
      <c r="A44" s="52">
        <v>2</v>
      </c>
      <c r="B44" s="142"/>
      <c r="C44" s="144"/>
      <c r="D44" s="608"/>
      <c r="E44" s="608"/>
      <c r="F44" s="577"/>
      <c r="G44" s="578"/>
      <c r="H44" s="578"/>
      <c r="I44" s="578"/>
      <c r="J44" s="579"/>
      <c r="K44" s="596"/>
      <c r="L44" s="596"/>
      <c r="M44" s="142"/>
      <c r="N44" s="597"/>
      <c r="O44" s="598"/>
      <c r="P44" s="599"/>
      <c r="Q44" s="577"/>
      <c r="R44" s="578"/>
      <c r="S44" s="578"/>
      <c r="T44" s="578"/>
      <c r="U44" s="579"/>
      <c r="V44" s="636"/>
      <c r="W44" s="636"/>
      <c r="X44" s="636"/>
      <c r="Y44" s="636"/>
      <c r="Z44" s="636"/>
      <c r="AA44" s="637"/>
      <c r="AB44" s="638"/>
      <c r="AC44" s="638"/>
      <c r="AD44" s="639"/>
      <c r="AE44" s="640"/>
      <c r="AF44" s="58"/>
      <c r="AG44" s="58"/>
      <c r="AH44" s="58"/>
      <c r="AM44" s="55" t="b">
        <f>IF(D44=Data!$FB$74,Data!$FF$158,IF(D44=Data!$FB$75,Data!$FE$158))</f>
        <v>0</v>
      </c>
      <c r="AO44" s="55" t="b">
        <f>IF(N44=Data!$HX$94,Data!$HX$95,IF(N44=Data!$HY$94,Data!$HY$95))</f>
        <v>0</v>
      </c>
      <c r="AV44" s="86"/>
      <c r="BA44" s="294" t="str">
        <f>IF(OR(AND(D44="Timber",H44="Large Z Frame")),"NonStandard", "Standard" )</f>
        <v>Standard</v>
      </c>
      <c r="BB44" s="294" t="b">
        <f>IF(D44=Data!$KC$1,Data!$KC$2,IF(D44=Data!$KD$1,Data!$KD$2))</f>
        <v>0</v>
      </c>
      <c r="BC44" s="294" t="b">
        <f>IF(D44="Timber",Data!$IX$2,IF(D44="Fauxwood",Data!$IY$2))</f>
        <v>0</v>
      </c>
      <c r="BD44" s="66"/>
      <c r="BF44" s="369" t="e">
        <f>VLOOKUP(Q44,Data!$HX$56:$HY$89,2,FALSE)</f>
        <v>#N/A</v>
      </c>
      <c r="BJ44" s="66"/>
      <c r="BK44" s="55"/>
      <c r="BV44" s="66"/>
      <c r="BW44" s="66"/>
      <c r="CA44" s="66"/>
      <c r="CF44" s="66"/>
      <c r="CG44" s="66"/>
      <c r="CJ44" s="66"/>
      <c r="CK44" s="66"/>
      <c r="CL44" s="66"/>
      <c r="CP44" s="294"/>
      <c r="CQ44" s="66"/>
      <c r="CR44" s="66"/>
      <c r="CS44" s="66"/>
      <c r="CT44" s="66"/>
      <c r="CU44" s="55"/>
      <c r="CV44" s="55"/>
      <c r="CW44" s="66"/>
      <c r="CY44" s="66"/>
      <c r="CZ44" s="66"/>
      <c r="DH44" s="66"/>
      <c r="DK44" s="66"/>
      <c r="DN44" s="55"/>
      <c r="DO44" s="55"/>
      <c r="DP44" s="55"/>
      <c r="EC44" s="66"/>
      <c r="ED44" s="66"/>
      <c r="EE44" s="66"/>
    </row>
    <row r="45" spans="1:135" ht="15" customHeight="1">
      <c r="A45" s="52">
        <v>3</v>
      </c>
      <c r="B45" s="142"/>
      <c r="C45" s="144"/>
      <c r="D45" s="608"/>
      <c r="E45" s="608"/>
      <c r="F45" s="577"/>
      <c r="G45" s="578"/>
      <c r="H45" s="578"/>
      <c r="I45" s="578"/>
      <c r="J45" s="579"/>
      <c r="K45" s="596"/>
      <c r="L45" s="596"/>
      <c r="M45" s="142"/>
      <c r="N45" s="597"/>
      <c r="O45" s="598"/>
      <c r="P45" s="599"/>
      <c r="Q45" s="577"/>
      <c r="R45" s="578"/>
      <c r="S45" s="578"/>
      <c r="T45" s="578"/>
      <c r="U45" s="579"/>
      <c r="V45" s="636"/>
      <c r="W45" s="636"/>
      <c r="X45" s="636"/>
      <c r="Y45" s="636"/>
      <c r="Z45" s="636"/>
      <c r="AA45" s="637"/>
      <c r="AB45" s="638"/>
      <c r="AC45" s="638"/>
      <c r="AD45" s="639"/>
      <c r="AE45" s="640"/>
      <c r="AF45" s="58"/>
      <c r="AG45" s="58"/>
      <c r="AH45" s="58"/>
      <c r="AM45" s="55" t="b">
        <f>IF(D45=Data!$FB$74,Data!$FF$158,IF(D45=Data!$FB$75,Data!$FE$158))</f>
        <v>0</v>
      </c>
      <c r="AO45" s="55" t="b">
        <f>IF(N45=Data!$HX$94,Data!$HX$95,IF(N45=Data!$HY$94,Data!$HY$95))</f>
        <v>0</v>
      </c>
      <c r="AV45" s="86"/>
      <c r="BA45" s="294" t="str">
        <f>IF(OR(AND(D45="Timber",F45="Large Z Frame")),"NonStandard", "Standard" )</f>
        <v>Standard</v>
      </c>
      <c r="BB45" s="294" t="b">
        <f>IF(D45=Data!$KC$1,Data!$KC$2,IF(D45=Data!$KD$1,Data!$KD$2))</f>
        <v>0</v>
      </c>
      <c r="BC45" s="294" t="b">
        <f>IF(D45="Timber",Data!$IX$2,IF(D45="Fauxwood",Data!$IY$2))</f>
        <v>0</v>
      </c>
      <c r="BD45" s="66"/>
      <c r="BF45" s="369" t="e">
        <f>VLOOKUP(Q45,Data!$HX$56:$HY$89,2,FALSE)</f>
        <v>#N/A</v>
      </c>
      <c r="BJ45" s="66"/>
      <c r="BK45" s="55"/>
      <c r="BV45" s="66"/>
      <c r="BW45" s="66"/>
      <c r="CA45" s="66"/>
      <c r="CF45" s="66"/>
      <c r="CG45" s="66"/>
      <c r="CJ45" s="66"/>
      <c r="CK45" s="66"/>
      <c r="CL45" s="66"/>
      <c r="CP45" s="294"/>
      <c r="CQ45" s="66"/>
      <c r="CR45" s="66"/>
      <c r="CS45" s="66"/>
      <c r="CT45" s="66"/>
      <c r="CU45" s="55"/>
      <c r="CV45" s="55"/>
      <c r="CW45" s="66"/>
      <c r="CY45" s="66"/>
      <c r="CZ45" s="66"/>
      <c r="DH45" s="66"/>
      <c r="DK45" s="66"/>
      <c r="DN45" s="55"/>
      <c r="DO45" s="55"/>
      <c r="DP45" s="55"/>
      <c r="EC45" s="66"/>
      <c r="ED45" s="66"/>
      <c r="EE45" s="66"/>
    </row>
    <row r="46" spans="1:135" ht="15" customHeight="1">
      <c r="A46" s="52">
        <v>4</v>
      </c>
      <c r="B46" s="142"/>
      <c r="C46" s="144"/>
      <c r="D46" s="608"/>
      <c r="E46" s="608"/>
      <c r="F46" s="577"/>
      <c r="G46" s="578"/>
      <c r="H46" s="578"/>
      <c r="I46" s="578"/>
      <c r="J46" s="579"/>
      <c r="K46" s="596"/>
      <c r="L46" s="596"/>
      <c r="M46" s="142"/>
      <c r="N46" s="597"/>
      <c r="O46" s="598"/>
      <c r="P46" s="599"/>
      <c r="Q46" s="577"/>
      <c r="R46" s="578"/>
      <c r="S46" s="578"/>
      <c r="T46" s="578"/>
      <c r="U46" s="579"/>
      <c r="V46" s="636"/>
      <c r="W46" s="636"/>
      <c r="X46" s="636"/>
      <c r="Y46" s="636"/>
      <c r="Z46" s="636"/>
      <c r="AA46" s="637"/>
      <c r="AB46" s="638"/>
      <c r="AC46" s="638"/>
      <c r="AD46" s="639"/>
      <c r="AE46" s="640"/>
      <c r="AF46" s="58"/>
      <c r="AG46" s="58"/>
      <c r="AH46" s="58"/>
      <c r="AM46" s="55" t="b">
        <f>IF(D46=Data!$FB$74,Data!$FF$158,IF(D46=Data!$FB$75,Data!$FE$158))</f>
        <v>0</v>
      </c>
      <c r="AO46" s="55" t="b">
        <f>IF(N46=Data!$HX$94,Data!$HX$95,IF(N46=Data!$HY$94,Data!$HY$95))</f>
        <v>0</v>
      </c>
      <c r="AV46" s="86"/>
      <c r="BA46" s="294" t="str">
        <f t="shared" ref="BA46:BA52" si="64">IF(OR(AND(D46="Timber",H46="Large Z Frame")),"NonStandard", "Standard" )</f>
        <v>Standard</v>
      </c>
      <c r="BB46" s="294" t="b">
        <f>IF(D46=Data!$KC$1,Data!$KC$2,IF(D46=Data!$KD$1,Data!$KD$2))</f>
        <v>0</v>
      </c>
      <c r="BC46" s="294" t="b">
        <f>IF(D46="Timber",Data!$IX$2,IF(D46="Fauxwood",Data!$IY$2))</f>
        <v>0</v>
      </c>
      <c r="BD46" s="66"/>
      <c r="BF46" s="369" t="e">
        <f>VLOOKUP(Q46,Data!$HX$56:$HY$89,2,FALSE)</f>
        <v>#N/A</v>
      </c>
      <c r="BJ46" s="66"/>
      <c r="BK46" s="55"/>
      <c r="BV46" s="66"/>
      <c r="BW46" s="66"/>
      <c r="CA46" s="66"/>
      <c r="CF46" s="66"/>
      <c r="CG46" s="66"/>
      <c r="CJ46" s="66"/>
      <c r="CK46" s="66"/>
      <c r="CL46" s="66"/>
      <c r="CP46" s="294"/>
      <c r="CQ46" s="66"/>
      <c r="CR46" s="66"/>
      <c r="CS46" s="66"/>
      <c r="CT46" s="66"/>
      <c r="CU46" s="55"/>
      <c r="CV46" s="55"/>
      <c r="CW46" s="66"/>
      <c r="CY46" s="66"/>
      <c r="CZ46" s="66"/>
      <c r="DH46" s="66"/>
      <c r="DK46" s="66"/>
      <c r="DN46" s="55"/>
      <c r="DO46" s="55"/>
      <c r="DP46" s="55"/>
      <c r="EC46" s="66"/>
      <c r="ED46" s="66"/>
      <c r="EE46" s="66"/>
    </row>
    <row r="47" spans="1:135" ht="15" customHeight="1">
      <c r="A47" s="52">
        <v>5</v>
      </c>
      <c r="B47" s="142"/>
      <c r="C47" s="144"/>
      <c r="D47" s="608"/>
      <c r="E47" s="608"/>
      <c r="F47" s="577"/>
      <c r="G47" s="578"/>
      <c r="H47" s="578"/>
      <c r="I47" s="578"/>
      <c r="J47" s="579"/>
      <c r="K47" s="596"/>
      <c r="L47" s="596"/>
      <c r="M47" s="142"/>
      <c r="N47" s="597"/>
      <c r="O47" s="598"/>
      <c r="P47" s="599"/>
      <c r="Q47" s="577"/>
      <c r="R47" s="578"/>
      <c r="S47" s="578"/>
      <c r="T47" s="578"/>
      <c r="U47" s="579"/>
      <c r="V47" s="636"/>
      <c r="W47" s="636"/>
      <c r="X47" s="636"/>
      <c r="Y47" s="636"/>
      <c r="Z47" s="636"/>
      <c r="AA47" s="637"/>
      <c r="AB47" s="638"/>
      <c r="AC47" s="638"/>
      <c r="AD47" s="639"/>
      <c r="AE47" s="640"/>
      <c r="AF47" s="58"/>
      <c r="AG47" s="58"/>
      <c r="AH47" s="58"/>
      <c r="AM47" s="55" t="b">
        <f>IF(D47=Data!$FB$74,Data!$FF$158,IF(D47=Data!$FB$75,Data!$FE$158))</f>
        <v>0</v>
      </c>
      <c r="AO47" s="55" t="b">
        <f>IF(N47=Data!$HX$94,Data!$HX$95,IF(N47=Data!$HY$94,Data!$HY$95))</f>
        <v>0</v>
      </c>
      <c r="AV47" s="86"/>
      <c r="BA47" s="294" t="str">
        <f t="shared" si="64"/>
        <v>Standard</v>
      </c>
      <c r="BB47" s="294" t="b">
        <f>IF(D47=Data!$KC$1,Data!$KC$2,IF(D47=Data!$KD$1,Data!$KD$2))</f>
        <v>0</v>
      </c>
      <c r="BC47" s="294" t="b">
        <f>IF(D47="Timber",Data!$IX$2,IF(D47="Fauxwood",Data!$IY$2))</f>
        <v>0</v>
      </c>
      <c r="BD47" s="66"/>
      <c r="BF47" s="369" t="e">
        <f>VLOOKUP(Q47,Data!$HX$56:$HY$89,2,FALSE)</f>
        <v>#N/A</v>
      </c>
      <c r="BJ47" s="66"/>
      <c r="BK47" s="55"/>
      <c r="BV47" s="66"/>
      <c r="BW47" s="66"/>
      <c r="CA47" s="66"/>
      <c r="CF47" s="66"/>
      <c r="CG47" s="66"/>
      <c r="CJ47" s="66"/>
      <c r="CK47" s="66"/>
      <c r="CL47" s="66"/>
      <c r="CP47" s="294"/>
      <c r="CQ47" s="66"/>
      <c r="CR47" s="66"/>
      <c r="CS47" s="66"/>
      <c r="CT47" s="66"/>
      <c r="CU47" s="55"/>
      <c r="CV47" s="55"/>
      <c r="CW47" s="66"/>
      <c r="CY47" s="66"/>
      <c r="CZ47" s="66"/>
      <c r="DH47" s="66"/>
      <c r="DK47" s="66"/>
      <c r="DN47" s="55"/>
      <c r="DO47" s="55"/>
      <c r="DP47" s="55"/>
      <c r="EC47" s="66"/>
      <c r="ED47" s="66"/>
      <c r="EE47" s="66"/>
    </row>
    <row r="48" spans="1:135" ht="15" customHeight="1">
      <c r="A48" s="52">
        <v>6</v>
      </c>
      <c r="B48" s="142"/>
      <c r="C48" s="144"/>
      <c r="D48" s="608"/>
      <c r="E48" s="608"/>
      <c r="F48" s="577"/>
      <c r="G48" s="578"/>
      <c r="H48" s="578"/>
      <c r="I48" s="578"/>
      <c r="J48" s="579"/>
      <c r="K48" s="596"/>
      <c r="L48" s="596"/>
      <c r="M48" s="142"/>
      <c r="N48" s="597"/>
      <c r="O48" s="598"/>
      <c r="P48" s="599"/>
      <c r="Q48" s="577"/>
      <c r="R48" s="578"/>
      <c r="S48" s="578"/>
      <c r="T48" s="578"/>
      <c r="U48" s="579"/>
      <c r="V48" s="636"/>
      <c r="W48" s="636"/>
      <c r="X48" s="636"/>
      <c r="Y48" s="636"/>
      <c r="Z48" s="636"/>
      <c r="AA48" s="637"/>
      <c r="AB48" s="638"/>
      <c r="AC48" s="638"/>
      <c r="AD48" s="639"/>
      <c r="AE48" s="640"/>
      <c r="AF48" s="58"/>
      <c r="AG48" s="58"/>
      <c r="AH48" s="58"/>
      <c r="AM48" s="55" t="b">
        <f>IF(D48=Data!$FB$74,Data!$FF$158,IF(D48=Data!$FB$75,Data!$FE$158))</f>
        <v>0</v>
      </c>
      <c r="AO48" s="55" t="b">
        <f>IF(N48=Data!$HX$94,Data!$HX$95,IF(N48=Data!$HY$94,Data!$HY$95))</f>
        <v>0</v>
      </c>
      <c r="AV48" s="86"/>
      <c r="BA48" s="294" t="str">
        <f t="shared" si="64"/>
        <v>Standard</v>
      </c>
      <c r="BB48" s="294" t="b">
        <f>IF(D48=Data!$KC$1,Data!$KC$2,IF(D48=Data!$KD$1,Data!$KD$2))</f>
        <v>0</v>
      </c>
      <c r="BC48" s="294" t="b">
        <f>IF(D48="Timber",Data!$IX$2,IF(D48="Fauxwood",Data!$IY$2))</f>
        <v>0</v>
      </c>
      <c r="BD48" s="66"/>
      <c r="BF48" s="369" t="e">
        <f>VLOOKUP(Q48,Data!$HX$56:$HY$89,2,FALSE)</f>
        <v>#N/A</v>
      </c>
      <c r="BJ48" s="66"/>
      <c r="BK48" s="55"/>
      <c r="BV48" s="66"/>
      <c r="BW48" s="66"/>
      <c r="CA48" s="66"/>
      <c r="CF48" s="66"/>
      <c r="CG48" s="66"/>
      <c r="CJ48" s="66"/>
      <c r="CK48" s="66"/>
      <c r="CL48" s="66"/>
      <c r="CP48" s="294"/>
      <c r="CQ48" s="66"/>
      <c r="CR48" s="66"/>
      <c r="CS48" s="66"/>
      <c r="CT48" s="66"/>
      <c r="CU48" s="55"/>
      <c r="CV48" s="55"/>
      <c r="CW48" s="66"/>
      <c r="CY48" s="66"/>
      <c r="CZ48" s="66"/>
      <c r="DH48" s="66"/>
      <c r="DK48" s="66"/>
      <c r="DN48" s="55"/>
      <c r="DO48" s="55"/>
      <c r="DP48" s="55"/>
      <c r="EC48" s="66"/>
      <c r="ED48" s="66"/>
      <c r="EE48" s="66"/>
    </row>
    <row r="49" spans="1:135" ht="15" customHeight="1">
      <c r="A49" s="52">
        <v>7</v>
      </c>
      <c r="B49" s="142"/>
      <c r="C49" s="144"/>
      <c r="D49" s="608"/>
      <c r="E49" s="608"/>
      <c r="F49" s="577"/>
      <c r="G49" s="578"/>
      <c r="H49" s="578"/>
      <c r="I49" s="578"/>
      <c r="J49" s="579"/>
      <c r="K49" s="596"/>
      <c r="L49" s="596"/>
      <c r="M49" s="142"/>
      <c r="N49" s="597"/>
      <c r="O49" s="598"/>
      <c r="P49" s="599"/>
      <c r="Q49" s="577"/>
      <c r="R49" s="578"/>
      <c r="S49" s="578"/>
      <c r="T49" s="578"/>
      <c r="U49" s="579"/>
      <c r="V49" s="636"/>
      <c r="W49" s="636"/>
      <c r="X49" s="636"/>
      <c r="Y49" s="636"/>
      <c r="Z49" s="636"/>
      <c r="AA49" s="637"/>
      <c r="AB49" s="638"/>
      <c r="AC49" s="638"/>
      <c r="AD49" s="639"/>
      <c r="AE49" s="640"/>
      <c r="AF49" s="58"/>
      <c r="AG49" s="58"/>
      <c r="AH49" s="58"/>
      <c r="AM49" s="55" t="b">
        <f>IF(D49=Data!$FB$74,Data!$FF$158,IF(D49=Data!$FB$75,Data!$FE$158))</f>
        <v>0</v>
      </c>
      <c r="AO49" s="55" t="b">
        <f>IF(N49=Data!$HX$94,Data!$HX$95,IF(N49=Data!$HY$94,Data!$HY$95))</f>
        <v>0</v>
      </c>
      <c r="AV49" s="86"/>
      <c r="BA49" s="294" t="str">
        <f t="shared" si="64"/>
        <v>Standard</v>
      </c>
      <c r="BB49" s="294" t="b">
        <f>IF(D49=Data!$KC$1,Data!$KC$2,IF(D49=Data!$KD$1,Data!$KD$2))</f>
        <v>0</v>
      </c>
      <c r="BC49" s="294" t="b">
        <f>IF(D49="Timber",Data!$IX$2,IF(D49="Fauxwood",Data!$IY$2))</f>
        <v>0</v>
      </c>
      <c r="BD49" s="66"/>
      <c r="BF49" s="369" t="e">
        <f>VLOOKUP(Q49,Data!$HX$56:$HY$89,2,FALSE)</f>
        <v>#N/A</v>
      </c>
      <c r="BJ49" s="66"/>
      <c r="BK49" s="55"/>
      <c r="BV49" s="66"/>
      <c r="BW49" s="66"/>
      <c r="CA49" s="66"/>
      <c r="CF49" s="66"/>
      <c r="CG49" s="66"/>
      <c r="CJ49" s="66"/>
      <c r="CK49" s="66"/>
      <c r="CL49" s="66"/>
      <c r="CP49" s="294"/>
      <c r="CQ49" s="66"/>
      <c r="CR49" s="66"/>
      <c r="CS49" s="66"/>
      <c r="CT49" s="66"/>
      <c r="CU49" s="55"/>
      <c r="CV49" s="55"/>
      <c r="CW49" s="66"/>
      <c r="CY49" s="66"/>
      <c r="CZ49" s="66"/>
      <c r="DH49" s="66"/>
      <c r="DK49" s="66"/>
      <c r="DN49" s="55"/>
      <c r="DO49" s="55"/>
      <c r="DP49" s="55"/>
      <c r="EC49" s="66"/>
      <c r="ED49" s="66"/>
      <c r="EE49" s="66"/>
    </row>
    <row r="50" spans="1:135" ht="15" customHeight="1">
      <c r="A50" s="52">
        <v>8</v>
      </c>
      <c r="B50" s="142"/>
      <c r="C50" s="144"/>
      <c r="D50" s="608"/>
      <c r="E50" s="608"/>
      <c r="F50" s="577"/>
      <c r="G50" s="578"/>
      <c r="H50" s="578"/>
      <c r="I50" s="578"/>
      <c r="J50" s="579"/>
      <c r="K50" s="596"/>
      <c r="L50" s="596"/>
      <c r="M50" s="142"/>
      <c r="N50" s="597"/>
      <c r="O50" s="598"/>
      <c r="P50" s="599"/>
      <c r="Q50" s="577"/>
      <c r="R50" s="578"/>
      <c r="S50" s="578"/>
      <c r="T50" s="578"/>
      <c r="U50" s="579"/>
      <c r="V50" s="636"/>
      <c r="W50" s="636"/>
      <c r="X50" s="636"/>
      <c r="Y50" s="636"/>
      <c r="Z50" s="636"/>
      <c r="AA50" s="637"/>
      <c r="AB50" s="638"/>
      <c r="AC50" s="638"/>
      <c r="AD50" s="639"/>
      <c r="AE50" s="640"/>
      <c r="AF50" s="58"/>
      <c r="AG50" s="58"/>
      <c r="AH50" s="58"/>
      <c r="AM50" s="55" t="b">
        <f>IF(D50=Data!$FB$74,Data!$FF$158,IF(D50=Data!$FB$75,Data!$FE$158))</f>
        <v>0</v>
      </c>
      <c r="AO50" s="55" t="b">
        <f>IF(N50=Data!$HX$94,Data!$HX$95,IF(N50=Data!$HY$94,Data!$HY$95))</f>
        <v>0</v>
      </c>
      <c r="AV50" s="86"/>
      <c r="BA50" s="294" t="str">
        <f t="shared" si="64"/>
        <v>Standard</v>
      </c>
      <c r="BB50" s="294" t="b">
        <f>IF(D50=Data!$KC$1,Data!$KC$2,IF(D50=Data!$KD$1,Data!$KD$2))</f>
        <v>0</v>
      </c>
      <c r="BC50" s="294" t="b">
        <f>IF(D50="Timber",Data!$IX$2,IF(D50="Fauxwood",Data!$IY$2))</f>
        <v>0</v>
      </c>
      <c r="BD50" s="66"/>
      <c r="BF50" s="369" t="e">
        <f>VLOOKUP(Q50,Data!$HX$56:$HY$89,2,FALSE)</f>
        <v>#N/A</v>
      </c>
      <c r="BJ50" s="66"/>
      <c r="BK50" s="55"/>
      <c r="BV50" s="66"/>
      <c r="BW50" s="66"/>
      <c r="CA50" s="66"/>
      <c r="CF50" s="66"/>
      <c r="CG50" s="66"/>
      <c r="CJ50" s="66"/>
      <c r="CK50" s="66"/>
      <c r="CL50" s="66"/>
      <c r="CP50" s="294"/>
      <c r="CQ50" s="66"/>
      <c r="CR50" s="66"/>
      <c r="CS50" s="66"/>
      <c r="CT50" s="66"/>
      <c r="CU50" s="55"/>
      <c r="CV50" s="55"/>
      <c r="CW50" s="66"/>
      <c r="CY50" s="66"/>
      <c r="CZ50" s="66"/>
      <c r="DH50" s="66"/>
      <c r="DK50" s="66"/>
      <c r="DN50" s="55"/>
      <c r="DO50" s="55"/>
      <c r="DP50" s="55"/>
      <c r="EC50" s="66"/>
      <c r="ED50" s="66"/>
      <c r="EE50" s="66"/>
    </row>
    <row r="51" spans="1:135" ht="15" customHeight="1">
      <c r="A51" s="52">
        <v>9</v>
      </c>
      <c r="B51" s="142"/>
      <c r="C51" s="144"/>
      <c r="D51" s="608"/>
      <c r="E51" s="608"/>
      <c r="F51" s="577"/>
      <c r="G51" s="578"/>
      <c r="H51" s="578"/>
      <c r="I51" s="578"/>
      <c r="J51" s="579"/>
      <c r="K51" s="596"/>
      <c r="L51" s="596"/>
      <c r="M51" s="142"/>
      <c r="N51" s="597"/>
      <c r="O51" s="598"/>
      <c r="P51" s="599"/>
      <c r="Q51" s="577"/>
      <c r="R51" s="578"/>
      <c r="S51" s="578"/>
      <c r="T51" s="578"/>
      <c r="U51" s="579"/>
      <c r="V51" s="636"/>
      <c r="W51" s="636"/>
      <c r="X51" s="636"/>
      <c r="Y51" s="636"/>
      <c r="Z51" s="636"/>
      <c r="AA51" s="637"/>
      <c r="AB51" s="638"/>
      <c r="AC51" s="638"/>
      <c r="AD51" s="639"/>
      <c r="AE51" s="640"/>
      <c r="AF51" s="58"/>
      <c r="AG51" s="58"/>
      <c r="AH51" s="58"/>
      <c r="AM51" s="55" t="b">
        <f>IF(D51=Data!$FB$74,Data!$FF$158,IF(D51=Data!$FB$75,Data!$FE$158))</f>
        <v>0</v>
      </c>
      <c r="AO51" s="55" t="b">
        <f>IF(N51=Data!$HX$94,Data!$HX$95,IF(N51=Data!$HY$94,Data!$HY$95))</f>
        <v>0</v>
      </c>
      <c r="AV51" s="86"/>
      <c r="BA51" s="294" t="str">
        <f t="shared" si="64"/>
        <v>Standard</v>
      </c>
      <c r="BB51" s="294" t="b">
        <f>IF(D51=Data!$KC$1,Data!$KC$2,IF(D51=Data!$KD$1,Data!$KD$2))</f>
        <v>0</v>
      </c>
      <c r="BC51" s="294" t="b">
        <f>IF(D51="Timber",Data!$IX$2,IF(D51="Fauxwood",Data!$IY$2))</f>
        <v>0</v>
      </c>
      <c r="BD51" s="66"/>
      <c r="BF51" s="369" t="e">
        <f>VLOOKUP(Q51,Data!$HX$56:$HY$89,2,FALSE)</f>
        <v>#N/A</v>
      </c>
      <c r="BJ51" s="66"/>
      <c r="BK51" s="55"/>
      <c r="BV51" s="66"/>
      <c r="BW51" s="66"/>
      <c r="CA51" s="66"/>
      <c r="CF51" s="66"/>
      <c r="CG51" s="66"/>
      <c r="CJ51" s="66"/>
      <c r="CK51" s="66"/>
      <c r="CL51" s="66"/>
      <c r="CP51" s="294"/>
      <c r="CQ51" s="66"/>
      <c r="CR51" s="66"/>
      <c r="CS51" s="66"/>
      <c r="CT51" s="66"/>
      <c r="CU51" s="55"/>
      <c r="CV51" s="55"/>
      <c r="CW51" s="66"/>
      <c r="CY51" s="66"/>
      <c r="CZ51" s="66"/>
      <c r="DH51" s="66"/>
      <c r="DK51" s="66"/>
      <c r="DN51" s="55"/>
      <c r="DO51" s="55"/>
      <c r="DP51" s="55"/>
      <c r="EC51" s="66"/>
      <c r="ED51" s="66"/>
      <c r="EE51" s="66"/>
    </row>
    <row r="52" spans="1:135" ht="15" customHeight="1" thickBot="1">
      <c r="A52" s="146">
        <v>10</v>
      </c>
      <c r="B52" s="147"/>
      <c r="C52" s="151"/>
      <c r="D52" s="657"/>
      <c r="E52" s="657"/>
      <c r="F52" s="589"/>
      <c r="G52" s="590"/>
      <c r="H52" s="590"/>
      <c r="I52" s="590"/>
      <c r="J52" s="591"/>
      <c r="K52" s="650"/>
      <c r="L52" s="650"/>
      <c r="M52" s="147"/>
      <c r="N52" s="600"/>
      <c r="O52" s="601"/>
      <c r="P52" s="602"/>
      <c r="Q52" s="589"/>
      <c r="R52" s="590"/>
      <c r="S52" s="590"/>
      <c r="T52" s="590"/>
      <c r="U52" s="591"/>
      <c r="V52" s="635"/>
      <c r="W52" s="635"/>
      <c r="X52" s="635"/>
      <c r="Y52" s="635"/>
      <c r="Z52" s="635"/>
      <c r="AA52" s="631"/>
      <c r="AB52" s="632"/>
      <c r="AC52" s="632"/>
      <c r="AD52" s="633"/>
      <c r="AE52" s="634"/>
      <c r="AF52" s="58"/>
      <c r="AG52" s="58"/>
      <c r="AH52" s="58"/>
      <c r="AM52" s="55" t="b">
        <f>IF(D52=Data!$FB$74,Data!$FF$158,IF(D52=Data!$FB$75,Data!$FE$158))</f>
        <v>0</v>
      </c>
      <c r="AO52" s="55" t="b">
        <f>IF(N52=Data!$HX$94,Data!$HX$95,IF(N52=Data!$HY$94,Data!$HY$95))</f>
        <v>0</v>
      </c>
      <c r="AV52" s="86"/>
      <c r="BA52" s="294" t="str">
        <f t="shared" si="64"/>
        <v>Standard</v>
      </c>
      <c r="BB52" s="294" t="b">
        <f>IF(D52=Data!$KC$1,Data!$KC$2,IF(D52=Data!$KD$1,Data!$KD$2))</f>
        <v>0</v>
      </c>
      <c r="BC52" s="294" t="b">
        <f>IF(D52="Timber",Data!$IX$2,IF(D52="Fauxwood",Data!$IY$2))</f>
        <v>0</v>
      </c>
      <c r="BD52" s="66"/>
      <c r="BF52" s="369" t="e">
        <f>VLOOKUP(Q52,Data!$HX$56:$HY$89,2,FALSE)</f>
        <v>#N/A</v>
      </c>
      <c r="BJ52" s="66"/>
      <c r="BK52" s="55"/>
      <c r="BV52" s="66"/>
      <c r="BW52" s="66"/>
      <c r="CA52" s="66"/>
      <c r="CF52" s="66"/>
      <c r="CG52" s="66"/>
      <c r="CJ52" s="66"/>
      <c r="CK52" s="66"/>
      <c r="CL52" s="66"/>
      <c r="CP52" s="294"/>
      <c r="CQ52" s="66"/>
      <c r="CR52" s="66"/>
      <c r="CS52" s="66"/>
      <c r="CT52" s="66"/>
      <c r="CU52" s="55"/>
      <c r="CV52" s="55"/>
      <c r="CW52" s="66"/>
      <c r="CY52" s="66"/>
      <c r="CZ52" s="66"/>
      <c r="DH52" s="66"/>
      <c r="DK52" s="66"/>
      <c r="DN52" s="55"/>
      <c r="DO52" s="55"/>
      <c r="DP52" s="55"/>
      <c r="EC52" s="66"/>
      <c r="ED52" s="66"/>
      <c r="EE52" s="66"/>
    </row>
    <row r="53" spans="1:135" ht="15.75" thickTop="1">
      <c r="BB53" s="66"/>
      <c r="BD53" s="66"/>
      <c r="BF53" s="66"/>
      <c r="BJ53" s="66"/>
      <c r="BK53" s="55"/>
      <c r="BV53" s="66"/>
      <c r="BW53" s="66"/>
      <c r="CA53" s="66"/>
      <c r="CF53" s="66"/>
      <c r="CG53" s="66"/>
      <c r="CJ53" s="66"/>
      <c r="CK53" s="66"/>
      <c r="CL53" s="66"/>
      <c r="CP53" s="294"/>
      <c r="CQ53" s="66"/>
      <c r="CR53" s="66"/>
      <c r="CS53" s="66"/>
      <c r="CT53" s="66"/>
      <c r="CU53" s="55"/>
      <c r="CV53" s="55"/>
      <c r="CW53" s="66"/>
      <c r="CY53" s="66"/>
      <c r="CZ53" s="66"/>
      <c r="DH53" s="66"/>
      <c r="DK53" s="66"/>
      <c r="DN53" s="55"/>
      <c r="DO53" s="55"/>
      <c r="DP53" s="55"/>
      <c r="EC53" s="66"/>
      <c r="ED53" s="66"/>
      <c r="EE53" s="66"/>
    </row>
  </sheetData>
  <sheetProtection algorithmName="SHA-512" hashValue="UJWeHpBPXP0oniU6lurAuv5+835qjm5extkDqEgWT9s+0QI0kZcgs+xp9YmM5ut8F/UxybQx8n6jlZWiuBGCBw==" saltValue="QU00+9rQ0viq5Ni9vBtuEA==" spinCount="100000" sheet="1" objects="1" scenarios="1"/>
  <mergeCells count="216">
    <mergeCell ref="FL7:FN7"/>
    <mergeCell ref="B38:E38"/>
    <mergeCell ref="B39:E39"/>
    <mergeCell ref="B40:E40"/>
    <mergeCell ref="B33:E33"/>
    <mergeCell ref="B34:E34"/>
    <mergeCell ref="B35:E35"/>
    <mergeCell ref="B36:E36"/>
    <mergeCell ref="B37:E37"/>
    <mergeCell ref="F36:J36"/>
    <mergeCell ref="F37:J37"/>
    <mergeCell ref="F33:J33"/>
    <mergeCell ref="F34:J34"/>
    <mergeCell ref="F38:J38"/>
    <mergeCell ref="F39:J39"/>
    <mergeCell ref="F35:J35"/>
    <mergeCell ref="B26:E26"/>
    <mergeCell ref="B27:E27"/>
    <mergeCell ref="B28:E28"/>
    <mergeCell ref="F25:J25"/>
    <mergeCell ref="F26:J26"/>
    <mergeCell ref="F29:J29"/>
    <mergeCell ref="H23:I23"/>
    <mergeCell ref="H17:I17"/>
    <mergeCell ref="F3:J3"/>
    <mergeCell ref="A3:E3"/>
    <mergeCell ref="H1:J2"/>
    <mergeCell ref="A1:G2"/>
    <mergeCell ref="A6:J6"/>
    <mergeCell ref="F4:J5"/>
    <mergeCell ref="A4:E5"/>
    <mergeCell ref="K42:L42"/>
    <mergeCell ref="D46:E46"/>
    <mergeCell ref="H8:I8"/>
    <mergeCell ref="B7:J7"/>
    <mergeCell ref="B31:E31"/>
    <mergeCell ref="B32:E32"/>
    <mergeCell ref="F32:J32"/>
    <mergeCell ref="H11:I11"/>
    <mergeCell ref="H12:I12"/>
    <mergeCell ref="H9:I9"/>
    <mergeCell ref="H10:I10"/>
    <mergeCell ref="H21:I21"/>
    <mergeCell ref="H22:I22"/>
    <mergeCell ref="F27:J27"/>
    <mergeCell ref="F28:J28"/>
    <mergeCell ref="A24:B24"/>
    <mergeCell ref="B30:E30"/>
    <mergeCell ref="AB6:AC6"/>
    <mergeCell ref="AD6:AE6"/>
    <mergeCell ref="V26:AE40"/>
    <mergeCell ref="M7:W7"/>
    <mergeCell ref="N6:AA6"/>
    <mergeCell ref="Z7:AC7"/>
    <mergeCell ref="L6:M6"/>
    <mergeCell ref="X7:Y7"/>
    <mergeCell ref="N33:U33"/>
    <mergeCell ref="N34:U34"/>
    <mergeCell ref="N35:U35"/>
    <mergeCell ref="N36:U36"/>
    <mergeCell ref="N37:U37"/>
    <mergeCell ref="N38:U38"/>
    <mergeCell ref="N39:U39"/>
    <mergeCell ref="N40:U40"/>
    <mergeCell ref="N30:U30"/>
    <mergeCell ref="N31:U31"/>
    <mergeCell ref="N32:U32"/>
    <mergeCell ref="K40:M40"/>
    <mergeCell ref="N29:U29"/>
    <mergeCell ref="V25:AE25"/>
    <mergeCell ref="Q8:R8"/>
    <mergeCell ref="Q19:R19"/>
    <mergeCell ref="D45:E45"/>
    <mergeCell ref="K52:L52"/>
    <mergeCell ref="F42:J42"/>
    <mergeCell ref="F43:J43"/>
    <mergeCell ref="F44:J44"/>
    <mergeCell ref="F45:J45"/>
    <mergeCell ref="F46:J46"/>
    <mergeCell ref="F47:J47"/>
    <mergeCell ref="F48:J48"/>
    <mergeCell ref="F49:J49"/>
    <mergeCell ref="D51:E51"/>
    <mergeCell ref="D52:E52"/>
    <mergeCell ref="K49:L49"/>
    <mergeCell ref="D50:E50"/>
    <mergeCell ref="K45:L45"/>
    <mergeCell ref="K46:L46"/>
    <mergeCell ref="K47:L47"/>
    <mergeCell ref="K48:L48"/>
    <mergeCell ref="D47:E47"/>
    <mergeCell ref="D48:E48"/>
    <mergeCell ref="D49:E49"/>
    <mergeCell ref="K43:L43"/>
    <mergeCell ref="K44:L44"/>
    <mergeCell ref="D42:E42"/>
    <mergeCell ref="V42:Z42"/>
    <mergeCell ref="AA42:AE42"/>
    <mergeCell ref="AA43:AE43"/>
    <mergeCell ref="V44:Z44"/>
    <mergeCell ref="V45:Z45"/>
    <mergeCell ref="V46:Z46"/>
    <mergeCell ref="V47:Z47"/>
    <mergeCell ref="V48:Z48"/>
    <mergeCell ref="V49:Z49"/>
    <mergeCell ref="V43:Z43"/>
    <mergeCell ref="AA52:AE52"/>
    <mergeCell ref="V52:Z52"/>
    <mergeCell ref="V51:Z51"/>
    <mergeCell ref="AA44:AE44"/>
    <mergeCell ref="AA45:AE45"/>
    <mergeCell ref="AA46:AE46"/>
    <mergeCell ref="AA47:AE47"/>
    <mergeCell ref="AA48:AE48"/>
    <mergeCell ref="AA49:AE49"/>
    <mergeCell ref="AA50:AE50"/>
    <mergeCell ref="AA51:AE51"/>
    <mergeCell ref="V50:Z50"/>
    <mergeCell ref="AG1:AG2"/>
    <mergeCell ref="AF4:AF5"/>
    <mergeCell ref="AG4:AG5"/>
    <mergeCell ref="L1:M1"/>
    <mergeCell ref="L2:M2"/>
    <mergeCell ref="L3:M3"/>
    <mergeCell ref="L4:M4"/>
    <mergeCell ref="L5:M5"/>
    <mergeCell ref="N1:AA1"/>
    <mergeCell ref="N2:AA2"/>
    <mergeCell ref="AD3:AE3"/>
    <mergeCell ref="AD4:AE4"/>
    <mergeCell ref="AF1:AF2"/>
    <mergeCell ref="AD2:AE2"/>
    <mergeCell ref="AB1:AC1"/>
    <mergeCell ref="AB2:AC2"/>
    <mergeCell ref="N4:AA4"/>
    <mergeCell ref="N5:AA5"/>
    <mergeCell ref="AB5:AC5"/>
    <mergeCell ref="AD5:AE5"/>
    <mergeCell ref="AB3:AC3"/>
    <mergeCell ref="AB4:AC4"/>
    <mergeCell ref="N3:AA3"/>
    <mergeCell ref="H19:I19"/>
    <mergeCell ref="H20:I20"/>
    <mergeCell ref="H18:I18"/>
    <mergeCell ref="B29:E29"/>
    <mergeCell ref="B25:E25"/>
    <mergeCell ref="Q42:U42"/>
    <mergeCell ref="Q9:R9"/>
    <mergeCell ref="Q10:R10"/>
    <mergeCell ref="Q11:R11"/>
    <mergeCell ref="H14:I14"/>
    <mergeCell ref="Q14:R14"/>
    <mergeCell ref="N26:U26"/>
    <mergeCell ref="N27:U27"/>
    <mergeCell ref="N28:U28"/>
    <mergeCell ref="Q17:R17"/>
    <mergeCell ref="Q23:R23"/>
    <mergeCell ref="K27:M27"/>
    <mergeCell ref="K28:M28"/>
    <mergeCell ref="H13:I13"/>
    <mergeCell ref="Q15:R15"/>
    <mergeCell ref="H15:I15"/>
    <mergeCell ref="Q20:R20"/>
    <mergeCell ref="K26:M26"/>
    <mergeCell ref="Q13:R13"/>
    <mergeCell ref="H16:I16"/>
    <mergeCell ref="N25:U25"/>
    <mergeCell ref="Q18:R18"/>
    <mergeCell ref="Q50:U50"/>
    <mergeCell ref="Q48:U48"/>
    <mergeCell ref="F51:J51"/>
    <mergeCell ref="F52:J52"/>
    <mergeCell ref="Q12:R12"/>
    <mergeCell ref="K38:M38"/>
    <mergeCell ref="K39:M39"/>
    <mergeCell ref="K51:L51"/>
    <mergeCell ref="F40:J40"/>
    <mergeCell ref="F30:J30"/>
    <mergeCell ref="F31:J31"/>
    <mergeCell ref="K32:M32"/>
    <mergeCell ref="B41:I41"/>
    <mergeCell ref="K33:M33"/>
    <mergeCell ref="K34:M34"/>
    <mergeCell ref="K35:M35"/>
    <mergeCell ref="K36:M36"/>
    <mergeCell ref="K37:M37"/>
    <mergeCell ref="D43:E43"/>
    <mergeCell ref="D44:E44"/>
    <mergeCell ref="F50:J50"/>
    <mergeCell ref="K25:M25"/>
    <mergeCell ref="Q16:R16"/>
    <mergeCell ref="K31:M31"/>
    <mergeCell ref="K50:L50"/>
    <mergeCell ref="N51:P51"/>
    <mergeCell ref="N52:P52"/>
    <mergeCell ref="K29:M29"/>
    <mergeCell ref="K30:M30"/>
    <mergeCell ref="N44:P44"/>
    <mergeCell ref="N45:P45"/>
    <mergeCell ref="N46:P46"/>
    <mergeCell ref="N47:P47"/>
    <mergeCell ref="N48:P48"/>
    <mergeCell ref="N49:P49"/>
    <mergeCell ref="N50:P50"/>
    <mergeCell ref="Q44:U44"/>
    <mergeCell ref="Q45:U45"/>
    <mergeCell ref="Q46:U46"/>
    <mergeCell ref="Q47:U47"/>
    <mergeCell ref="Q49:U49"/>
    <mergeCell ref="Q43:U43"/>
    <mergeCell ref="N43:P43"/>
    <mergeCell ref="N42:P42"/>
    <mergeCell ref="Q51:U51"/>
    <mergeCell ref="Q52:U52"/>
    <mergeCell ref="Q21:R21"/>
    <mergeCell ref="Q22:R22"/>
  </mergeCells>
  <conditionalFormatting sqref="K9:K23">
    <cfRule type="containsText" dxfId="96" priority="13" operator="containsText" text="No">
      <formula>NOT(ISERROR(SEARCH("No",K9)))</formula>
    </cfRule>
    <cfRule type="containsText" dxfId="95" priority="79" stopIfTrue="1" operator="containsText" text="Yes">
      <formula>NOT(ISERROR(SEARCH("Yes",K9)))</formula>
    </cfRule>
  </conditionalFormatting>
  <conditionalFormatting sqref="L9:L23">
    <cfRule type="expression" dxfId="94" priority="78" stopIfTrue="1">
      <formula>BB9="Yes"</formula>
    </cfRule>
  </conditionalFormatting>
  <conditionalFormatting sqref="C9:C23">
    <cfRule type="expression" dxfId="93" priority="77">
      <formula>K9="Yes"</formula>
    </cfRule>
  </conditionalFormatting>
  <conditionalFormatting sqref="D9:D23">
    <cfRule type="expression" dxfId="92" priority="76">
      <formula>BF9="Yes"</formula>
    </cfRule>
  </conditionalFormatting>
  <conditionalFormatting sqref="AD9:AD23">
    <cfRule type="expression" dxfId="91" priority="75">
      <formula>BI9="Required"</formula>
    </cfRule>
  </conditionalFormatting>
  <conditionalFormatting sqref="Y9:Y23">
    <cfRule type="expression" dxfId="90" priority="73">
      <formula>BJ9="Highlight"</formula>
    </cfRule>
  </conditionalFormatting>
  <conditionalFormatting sqref="Z9:Z23">
    <cfRule type="expression" dxfId="89" priority="72">
      <formula>DS9="Yes"</formula>
    </cfRule>
  </conditionalFormatting>
  <conditionalFormatting sqref="AB9:AB23">
    <cfRule type="expression" dxfId="88" priority="67">
      <formula>BN9="Error"</formula>
    </cfRule>
  </conditionalFormatting>
  <conditionalFormatting sqref="AC9:AC23">
    <cfRule type="expression" dxfId="87" priority="66">
      <formula>BO9="Error"</formula>
    </cfRule>
  </conditionalFormatting>
  <conditionalFormatting sqref="K9:K23">
    <cfRule type="containsErrors" dxfId="86" priority="60">
      <formula>ISERROR(K9)</formula>
    </cfRule>
  </conditionalFormatting>
  <conditionalFormatting sqref="J9:J23">
    <cfRule type="expression" dxfId="85" priority="54">
      <formula>CE9="Yes"</formula>
    </cfRule>
  </conditionalFormatting>
  <conditionalFormatting sqref="S9:S23">
    <cfRule type="expression" dxfId="84" priority="53">
      <formula>CF9="Yes"</formula>
    </cfRule>
  </conditionalFormatting>
  <conditionalFormatting sqref="S10:V12 T9:T23">
    <cfRule type="expression" dxfId="83" priority="52">
      <formula>EB9="Yes"</formula>
    </cfRule>
  </conditionalFormatting>
  <conditionalFormatting sqref="U9:U23">
    <cfRule type="expression" dxfId="82" priority="51">
      <formula>ED9="Yes"</formula>
    </cfRule>
  </conditionalFormatting>
  <conditionalFormatting sqref="Q9:R23">
    <cfRule type="expression" dxfId="81" priority="49">
      <formula>CI9="Error"</formula>
    </cfRule>
  </conditionalFormatting>
  <conditionalFormatting sqref="B44:C52">
    <cfRule type="expression" dxfId="80" priority="46">
      <formula>BR27="Yes"</formula>
    </cfRule>
  </conditionalFormatting>
  <conditionalFormatting sqref="B44:C52">
    <cfRule type="expression" dxfId="79" priority="45">
      <formula>BS27="Yes"</formula>
    </cfRule>
  </conditionalFormatting>
  <conditionalFormatting sqref="C43">
    <cfRule type="expression" dxfId="78" priority="44">
      <formula>BS26="Yes"</formula>
    </cfRule>
  </conditionalFormatting>
  <conditionalFormatting sqref="C43">
    <cfRule type="expression" dxfId="77" priority="43">
      <formula>BT26="Yes"</formula>
    </cfRule>
  </conditionalFormatting>
  <conditionalFormatting sqref="F9:F23">
    <cfRule type="expression" dxfId="76" priority="37">
      <formula>CL9="Failed"</formula>
    </cfRule>
  </conditionalFormatting>
  <conditionalFormatting sqref="N6:O6">
    <cfRule type="notContainsBlanks" dxfId="75" priority="36">
      <formula>LEN(TRIM(N6))&gt;0</formula>
    </cfRule>
  </conditionalFormatting>
  <conditionalFormatting sqref="DM10 Z7">
    <cfRule type="containsText" dxfId="74" priority="31" operator="containsText" text="Layout Code &amp; T Post Quantity Issue">
      <formula>NOT(ISERROR(SEARCH("Layout Code &amp; T Post Quantity Issue",Z7)))</formula>
    </cfRule>
  </conditionalFormatting>
  <conditionalFormatting sqref="AB9:AB23">
    <cfRule type="expression" dxfId="73" priority="27">
      <formula>DV9="Error"</formula>
    </cfRule>
  </conditionalFormatting>
  <conditionalFormatting sqref="AC9:AC23">
    <cfRule type="expression" dxfId="72" priority="26">
      <formula>DW9="Error"</formula>
    </cfRule>
  </conditionalFormatting>
  <conditionalFormatting sqref="AA9:AA23">
    <cfRule type="expression" dxfId="71" priority="25">
      <formula>BM9="Error"</formula>
    </cfRule>
  </conditionalFormatting>
  <conditionalFormatting sqref="AA9:AA23">
    <cfRule type="expression" dxfId="70" priority="24">
      <formula>DU9="Error"</formula>
    </cfRule>
  </conditionalFormatting>
  <conditionalFormatting sqref="P9:P23">
    <cfRule type="expression" dxfId="69" priority="22">
      <formula>DM9="Layout Code &amp; T Post Quantity Issue"</formula>
    </cfRule>
    <cfRule type="expression" dxfId="68" priority="23">
      <formula>CL9="Failed"</formula>
    </cfRule>
  </conditionalFormatting>
  <conditionalFormatting sqref="W9:W23">
    <cfRule type="expression" dxfId="67" priority="21">
      <formula>BG9="Required"</formula>
    </cfRule>
  </conditionalFormatting>
  <conditionalFormatting sqref="M9:M23">
    <cfRule type="expression" dxfId="66" priority="116">
      <formula>CC9="Yes"</formula>
    </cfRule>
  </conditionalFormatting>
  <conditionalFormatting sqref="Q9:R23">
    <cfRule type="expression" dxfId="65" priority="19">
      <formula>AY9="Yes"</formula>
    </cfRule>
  </conditionalFormatting>
  <conditionalFormatting sqref="X9:X23">
    <cfRule type="expression" dxfId="64" priority="18">
      <formula>AW9="Yes"</formula>
    </cfRule>
  </conditionalFormatting>
  <conditionalFormatting sqref="P9:P23">
    <cfRule type="expression" dxfId="63" priority="17">
      <formula>EI9="ERROR"</formula>
    </cfRule>
  </conditionalFormatting>
  <conditionalFormatting sqref="C9:C23">
    <cfRule type="expression" dxfId="62" priority="16">
      <formula>CU9&lt;250</formula>
    </cfRule>
  </conditionalFormatting>
  <conditionalFormatting sqref="D9:D23">
    <cfRule type="expression" dxfId="61" priority="15">
      <formula>EJ9&lt;350</formula>
    </cfRule>
  </conditionalFormatting>
  <conditionalFormatting sqref="V9:V23">
    <cfRule type="expression" dxfId="60" priority="14">
      <formula>EE9="Yes"</formula>
    </cfRule>
  </conditionalFormatting>
  <conditionalFormatting sqref="T9:T23">
    <cfRule type="expression" dxfId="59" priority="12">
      <formula>CG9="Yes"</formula>
    </cfRule>
  </conditionalFormatting>
  <conditionalFormatting sqref="V9:V23">
    <cfRule type="expression" dxfId="58" priority="11">
      <formula>EE9="Yes"</formula>
    </cfRule>
  </conditionalFormatting>
  <conditionalFormatting sqref="AE1">
    <cfRule type="cellIs" dxfId="57" priority="10" operator="greaterThan">
      <formula>1</formula>
    </cfRule>
  </conditionalFormatting>
  <conditionalFormatting sqref="F43:F52">
    <cfRule type="expression" dxfId="56" priority="8">
      <formula>BT26="Yes"</formula>
    </cfRule>
  </conditionalFormatting>
  <conditionalFormatting sqref="F43:F52">
    <cfRule type="expression" dxfId="55" priority="9">
      <formula>BU26="Yes"</formula>
    </cfRule>
  </conditionalFormatting>
  <conditionalFormatting sqref="S9">
    <cfRule type="expression" dxfId="54" priority="1">
      <formula>EB9="Yes"</formula>
    </cfRule>
  </conditionalFormatting>
  <dataValidations count="38">
    <dataValidation type="list" allowBlank="1" showInputMessage="1" showErrorMessage="1" errorTitle="Invalid Entry" error="Invalid Entry" sqref="H9:I23" xr:uid="{3756FD35-F667-414D-96E1-8D4A046A3B88}">
      <formula1>INDIRECT(SUBSTITUTE(G9," ","_"))</formula1>
    </dataValidation>
    <dataValidation type="list" allowBlank="1" showInputMessage="1" showErrorMessage="1" errorTitle="Invalid Entry" error="Please select from List!" sqref="J9:J23" xr:uid="{557280E7-1333-423D-A9B7-364066864A21}">
      <formula1>INDIRECT(SUBSTITUTE(DA9," ","_"))</formula1>
    </dataValidation>
    <dataValidation type="list" allowBlank="1" showInputMessage="1" showErrorMessage="1" errorTitle="Invalid Entry" error="Invalid Entry" sqref="Y9:Y23" xr:uid="{C84B9915-6ADE-47BC-AAF8-1304F1C2A5A3}">
      <formula1>INDIRECT(DH9)</formula1>
    </dataValidation>
    <dataValidation type="list" allowBlank="1" showInputMessage="1" showErrorMessage="1" errorTitle="Invalid Entry" error="Invalid Entry" sqref="Y43:Z52" xr:uid="{794FB3EF-C021-492C-A9E2-83A0246A43BD}">
      <formula1>INDIRECT(SUBSTITUTE(BG43," ","_"))</formula1>
    </dataValidation>
    <dataValidation type="list" allowBlank="1" showInputMessage="1" showErrorMessage="1" errorTitle="Invalid Entry" error="Invalid Entry" sqref="V43:W52" xr:uid="{F5666D06-F933-4419-BAFB-2AC49FC6EB9A}">
      <formula1>INDIRECT(SUBSTITUTE(BF43," ","_"))</formula1>
    </dataValidation>
    <dataValidation type="list" allowBlank="1" showInputMessage="1" showErrorMessage="1" errorTitle="Invalid Entry" error="Invalid Entry" sqref="X43:X52" xr:uid="{AB0B5608-05B8-4568-8509-034DCA260E40}">
      <formula1>INDIRECT(SUBSTITUTE(BG43," ","_"))</formula1>
    </dataValidation>
    <dataValidation type="list" allowBlank="1" showInputMessage="1" showErrorMessage="1" errorTitle="Invalid Entry" error="Invalid Entry" sqref="K43:L52" xr:uid="{1809801A-58F5-4402-AEEB-78DA9B7E824E}">
      <formula1>INDIRECT(BB43)</formula1>
    </dataValidation>
    <dataValidation type="list" allowBlank="1" showInputMessage="1" showErrorMessage="1" errorTitle="Invalid Entry" error="Please select from list!" sqref="AV42:AV52" xr:uid="{8B39F0F4-761B-44CB-9A00-66A28625230A}">
      <formula1>Pelmet</formula1>
    </dataValidation>
    <dataValidation allowBlank="1" showInputMessage="1" showErrorMessage="1" errorTitle="Invalid Entry" error="Invalid Entry" sqref="BA9:BA23 K9:K23 AV9:AV23" xr:uid="{E6126868-B0B4-44DB-A724-0A43ABB6BE37}"/>
    <dataValidation allowBlank="1" sqref="AG1:AG2 AF9:AG23" xr:uid="{4FE44114-D255-4D02-AAF4-715C8449EC55}"/>
    <dataValidation type="list" allowBlank="1" showInputMessage="1" errorTitle="Invalid Enrty" error="Please select from List!" sqref="Z9:Z23" xr:uid="{AC5A529B-3901-4EA4-85D9-ACF8A3F955EB}">
      <formula1>"1,2,3,4,5,6"</formula1>
    </dataValidation>
    <dataValidation allowBlank="1" errorTitle="Invalid Entry" error="Invalid Entry" sqref="N26:U40" xr:uid="{3A5D80E0-4AF6-48EF-A947-A00A5DD1A73F}"/>
    <dataValidation type="whole" errorStyle="information" allowBlank="1" showInputMessage="1" showErrorMessage="1" errorTitle="Be Aware" error="Minimum Fauxwood Eco Air Height is 260mm._x000a__x000a_Minimum Timber Eco Height is 350mm._x000a__x000a_Maximum Fauxwood Eco Air Height is 2600mm._x000a__x000a_Maximum Timber Eco Height is 3000mm." sqref="D9:D23" xr:uid="{5EA63A09-401C-424C-99C4-DCB9F9A6EBB4}">
      <formula1>260</formula1>
      <formula2>3000</formula2>
    </dataValidation>
    <dataValidation type="list" allowBlank="1" showInputMessage="1" showErrorMessage="1" sqref="E9:E23" xr:uid="{37A4D2B8-B3EA-4AEA-8090-53EADA02EF33}">
      <formula1>"IN,OUT,MS"</formula1>
    </dataValidation>
    <dataValidation type="whole" errorStyle="warning" allowBlank="1" showInputMessage="1" showErrorMessage="1" errorTitle="Length Warning" error="Please note that only Fascia's are able to be made greater than 3000mm in length._x000a__x000a_Fascia's can be made to a maximum of 3600mm." sqref="C43:C52" xr:uid="{E5A289A4-B973-46E0-A06E-CFD0864B5C39}">
      <formula1>0</formula1>
      <formula2>3000</formula2>
    </dataValidation>
    <dataValidation type="whole" errorStyle="information" allowBlank="1" showInputMessage="1" showErrorMessage="1" errorTitle="Be Aware" error="Minimum Fauxwood Eco Air Width is 180mm._x000a__x000a_Minimum Timber Eco Width is 250mm._x000a__x000a_Maximum Fauxwood Eco Air Width is 900mm._x000a__x000a_Maximum Timber Eco Width is 950mm." sqref="C9:C23" xr:uid="{059AFF58-9994-4397-B19F-566B70E002D1}">
      <formula1>180</formula1>
      <formula2>3600</formula2>
    </dataValidation>
    <dataValidation type="list" allowBlank="1" showInputMessage="1" showErrorMessage="1" errorTitle="Invalid Entry" error="Invalid Entry" sqref="W10:W23" xr:uid="{D380E694-85E7-48D4-B8EF-0DDCC12EEF1C}">
      <formula1>INDIRECT(ET10)</formula1>
    </dataValidation>
    <dataValidation type="list" allowBlank="1" showInputMessage="1" showErrorMessage="1" errorTitle="Invalid Entry" error="Invalid Entry" sqref="N9:N23" xr:uid="{6AC75883-8AE1-451F-9FDD-4189CE5BDC48}">
      <formula1>INDIRECT(SUBSTITUTE(FR9," ","_"))</formula1>
    </dataValidation>
    <dataValidation type="list" allowBlank="1" showInputMessage="1" showErrorMessage="1" errorTitle="Invalid Entry" error="Invalid Entry" sqref="AD9:AD23" xr:uid="{F01EFD17-D58F-453F-B1C9-D8796B08BE31}">
      <formula1>INDIRECT(GI9)</formula1>
    </dataValidation>
    <dataValidation type="list" allowBlank="1" showInputMessage="1" showErrorMessage="1" errorTitle="Invalid Entry" error="Invalid Entry" sqref="X9:X23" xr:uid="{6EA0F314-EB46-4632-9D50-652AB4C070E7}">
      <formula1>INDIRECT(GF9)</formula1>
    </dataValidation>
    <dataValidation type="list" errorStyle="warning" allowBlank="1" showInputMessage="1" showErrorMessage="1" errorTitle="Invalid Entry" error="Invalid Entry" sqref="F3:J3" xr:uid="{118D0F85-E1E8-4723-A992-9845CC1CA839}">
      <formula1>"shutterorders@pacificwholesale.com.au, service@pacificwholesale.com.au, salessupport@pacificwholesale.com.au, support@pacificwholesale.com.au"</formula1>
    </dataValidation>
    <dataValidation type="list" allowBlank="1" showInputMessage="1" showErrorMessage="1" errorTitle="Invalid Entry" error="Invalid Entry" sqref="AD6" xr:uid="{F2F2F286-D6CB-47AF-9DBD-7D0147158C45}">
      <formula1>ShippingPort</formula1>
    </dataValidation>
    <dataValidation type="list" allowBlank="1" showInputMessage="1" showErrorMessage="1" errorTitle="Invalid Entry" error="Invalid Entry" sqref="W9" xr:uid="{89CD75C2-5C8A-4258-8261-4AE6E85BACF2}">
      <formula1>INDIRECT(EV9)</formula1>
    </dataValidation>
    <dataValidation type="list" allowBlank="1" showInputMessage="1" showErrorMessage="1" errorTitle="Invalid Entry" error="Invalid Entry" sqref="M9:M23" xr:uid="{9785C474-508E-4B6F-B72A-10C838BDB3A4}">
      <formula1>INDIRECT(SUBSTITUTE(GN9," ","_"))</formula1>
    </dataValidation>
    <dataValidation type="list" errorStyle="information" allowBlank="1" showInputMessage="1" showErrorMessage="1" errorTitle="Check Special Layout Code" error="The Layout Codes In This List Are The Most Common Codes._x000a__x000a_When Entering A Different Special Code, Please Refer To The Shutter Manual." sqref="P9:P23" xr:uid="{6D530AC7-05E5-4244-A7A0-119FA23742FB}">
      <formula1>INDIRECT(SUBSTITUTE(DZ9," ","_"))</formula1>
    </dataValidation>
    <dataValidation type="list" allowBlank="1" showInputMessage="1" showErrorMessage="1" errorTitle="Invalid Entry" error="Invalid Entry" sqref="G9:G23" xr:uid="{1D55EAE3-5604-4074-8ECF-9D11BCD82A4D}">
      <formula1>INDIRECT(SUBSTITUTE(AL9," ","_"))</formula1>
    </dataValidation>
    <dataValidation type="list" allowBlank="1" showInputMessage="1" showErrorMessage="1" errorTitle="Invalid Entry" error="Invalid Entry" sqref="D43:E52 N43:P52" xr:uid="{1AA3DB0A-E82D-44A7-AD58-A01DB5ECE67F}">
      <formula1>ExtrasMaterial</formula1>
    </dataValidation>
    <dataValidation type="list" allowBlank="1" showInputMessage="1" showErrorMessage="1" errorTitle="Invalid Entry" error="Invalid Entry" sqref="S9:S23" xr:uid="{9B892D5D-887F-479E-92A1-193D3FC179FA}">
      <formula1>INDIRECT(DP9)</formula1>
    </dataValidation>
    <dataValidation type="list" allowBlank="1" showInputMessage="1" showErrorMessage="1" errorTitle="Invalid Entry" error="Invalid Entry" sqref="T9:T23" xr:uid="{6E11D1C5-91BA-4685-B63E-BFBE7904D5A0}">
      <formula1>INDIRECT(DP9)</formula1>
    </dataValidation>
    <dataValidation type="list" allowBlank="1" showInputMessage="1" showErrorMessage="1" errorTitle="Invalid Entry" error="Invalid Entry" sqref="U9:U23" xr:uid="{FD05AF10-C309-42B5-B706-AF884C2A36B1}">
      <formula1>INDIRECT(EL9)</formula1>
    </dataValidation>
    <dataValidation type="list" allowBlank="1" showInputMessage="1" showErrorMessage="1" errorTitle="Invalid Entry" error="Invalid Entry" sqref="V9:V23" xr:uid="{16A14DB1-9D73-4558-B3A9-3A9271BD2684}">
      <formula1>INDIRECT(EQ9)</formula1>
    </dataValidation>
    <dataValidation type="list" allowBlank="1" showInputMessage="1" showErrorMessage="1" errorTitle="Invalid Entry" error="Invalid Entry" sqref="B26:E40" xr:uid="{02FFB8B5-832B-42F8-A4DA-2EE62CFB0FD0}">
      <formula1>INDIRECT(GQ9)</formula1>
    </dataValidation>
    <dataValidation type="list" allowBlank="1" showInputMessage="1" showErrorMessage="1" errorTitle="Invalid Entry" error="Invalid Entry" sqref="F26:J40" xr:uid="{A9BFF03D-3808-42FC-9C59-C64DC06F9A61}">
      <formula1>INDIRECT(GQ9)</formula1>
    </dataValidation>
    <dataValidation type="list" allowBlank="1" showInputMessage="1" showErrorMessage="1" sqref="K26:M40" xr:uid="{DCCD28BD-6269-48D2-9666-2B37812F9AF4}">
      <formula1>INDIRECT(GQ9)</formula1>
    </dataValidation>
    <dataValidation type="list" allowBlank="1" showInputMessage="1" showErrorMessage="1" errorTitle="Invalid Entry" error="Invalid Entry" sqref="F43:J52" xr:uid="{167AA263-D71F-4F6E-96CB-D6B46DF84D2E}">
      <formula1>INDIRECT(AM43)</formula1>
    </dataValidation>
    <dataValidation type="list" allowBlank="1" showInputMessage="1" showErrorMessage="1" errorTitle="Invalid Entry" error="Invalid Entry" sqref="Q43:U52" xr:uid="{1144F2CB-992D-4B1B-AF86-646B72A6D8ED}">
      <formula1>INDIRECT(SUBSTITUTE(AO43," ","_"))</formula1>
    </dataValidation>
    <dataValidation type="list" allowBlank="1" showInputMessage="1" showErrorMessage="1" errorTitle="Invalid Entry" error="Invalid Entry" sqref="O9:O23" xr:uid="{88A23750-2710-406A-A9B0-1A637CC5786D}">
      <formula1>INDIRECT(SUBSTITUTE(AP9," ","_"))</formula1>
    </dataValidation>
    <dataValidation type="list" allowBlank="1" showInputMessage="1" showErrorMessage="1" errorTitle="Invalid Entry" error="Invalid Entry" sqref="Q9:R23" xr:uid="{5E93E9EA-87FD-4B23-A8E3-2281A44C4901}">
      <formula1>INDIRECT(SUBSTITUTE(FO9," ","_"))</formula1>
    </dataValidation>
  </dataValidations>
  <printOptions horizontalCentered="1"/>
  <pageMargins left="0.17" right="0.17" top="0.21" bottom="0.21" header="0.17" footer="0.17"/>
  <pageSetup paperSize="9" scale="38"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E3229-CCFC-4EF2-812B-8815D2F8C259}">
  <sheetPr>
    <tabColor theme="7" tint="-0.249977111117893"/>
    <pageSetUpPr fitToPage="1"/>
  </sheetPr>
  <dimension ref="A1:GZ53"/>
  <sheetViews>
    <sheetView tabSelected="1" view="pageBreakPreview" zoomScale="85" zoomScaleNormal="85" zoomScaleSheetLayoutView="85" workbookViewId="0">
      <selection activeCell="B9" sqref="B9"/>
    </sheetView>
  </sheetViews>
  <sheetFormatPr defaultRowHeight="15"/>
  <cols>
    <col min="1" max="1" width="6" style="55" customWidth="1"/>
    <col min="2" max="2" width="17.140625" style="55" customWidth="1"/>
    <col min="3" max="3" width="13" style="55" customWidth="1"/>
    <col min="4" max="4" width="12.42578125" style="55" customWidth="1"/>
    <col min="5" max="5" width="8.140625" style="55" customWidth="1"/>
    <col min="6" max="6" width="8.85546875" style="55" customWidth="1"/>
    <col min="7" max="7" width="20.140625" style="55" customWidth="1"/>
    <col min="8" max="8" width="18" style="55" customWidth="1"/>
    <col min="9" max="9" width="9.42578125" style="408" customWidth="1"/>
    <col min="10" max="10" width="11.28515625" style="55" customWidth="1"/>
    <col min="11" max="11" width="14.140625" style="55" customWidth="1"/>
    <col min="12" max="12" width="15.7109375" style="55" customWidth="1"/>
    <col min="13" max="13" width="15" style="55" customWidth="1"/>
    <col min="14" max="14" width="14" style="55" customWidth="1"/>
    <col min="15" max="16" width="17.42578125" style="55" customWidth="1"/>
    <col min="17" max="17" width="8.5703125" style="55" customWidth="1"/>
    <col min="18" max="18" width="16.42578125" style="55" customWidth="1"/>
    <col min="19" max="20" width="7.42578125" style="55" customWidth="1"/>
    <col min="21" max="21" width="7.7109375" style="55" customWidth="1"/>
    <col min="22" max="22" width="9.85546875" style="55" customWidth="1"/>
    <col min="23" max="23" width="11.42578125" style="55" customWidth="1"/>
    <col min="24" max="24" width="22" style="55" customWidth="1"/>
    <col min="25" max="25" width="8.85546875" style="55" customWidth="1"/>
    <col min="26" max="26" width="8.7109375" style="55" customWidth="1"/>
    <col min="27" max="27" width="7.7109375" style="55" customWidth="1"/>
    <col min="28" max="29" width="10.5703125" style="55" customWidth="1"/>
    <col min="30" max="30" width="14.7109375" style="55" customWidth="1"/>
    <col min="31" max="31" width="10.28515625" style="55" customWidth="1"/>
    <col min="32" max="32" width="14.42578125" style="55" customWidth="1"/>
    <col min="33" max="33" width="37.85546875" style="55" customWidth="1"/>
    <col min="34" max="34" width="9" style="82" hidden="1" customWidth="1"/>
    <col min="35" max="36" width="27.7109375" style="55" hidden="1" customWidth="1"/>
    <col min="37" max="37" width="16.42578125" style="55" hidden="1" customWidth="1"/>
    <col min="38" max="40" width="9" style="55" hidden="1" customWidth="1"/>
    <col min="41" max="41" width="44.140625" style="55" hidden="1" customWidth="1"/>
    <col min="42" max="42" width="30.5703125" style="55" hidden="1" customWidth="1"/>
    <col min="43" max="47" width="9" style="55" hidden="1" customWidth="1"/>
    <col min="48" max="48" width="9.5703125" style="55" customWidth="1"/>
    <col min="49" max="49" width="11.42578125" style="66" hidden="1" customWidth="1"/>
    <col min="50" max="50" width="9.140625" style="66" hidden="1" customWidth="1"/>
    <col min="51" max="51" width="18.28515625" style="66" hidden="1" customWidth="1"/>
    <col min="52" max="52" width="19.28515625" style="66" hidden="1" customWidth="1"/>
    <col min="53" max="53" width="52" style="66" hidden="1" customWidth="1"/>
    <col min="54" max="54" width="35.5703125" style="191" hidden="1" customWidth="1"/>
    <col min="55" max="55" width="26.140625" style="66" hidden="1" customWidth="1"/>
    <col min="56" max="56" width="15.42578125" style="191" hidden="1" customWidth="1"/>
    <col min="57" max="57" width="15.42578125" style="66" hidden="1" customWidth="1"/>
    <col min="58" max="58" width="54.42578125" style="191" hidden="1" customWidth="1"/>
    <col min="59" max="59" width="15.42578125" style="66" hidden="1" customWidth="1"/>
    <col min="60" max="60" width="15.7109375" style="66" hidden="1" customWidth="1"/>
    <col min="61" max="61" width="15.5703125" style="66" hidden="1" customWidth="1"/>
    <col min="62" max="62" width="22.140625" style="191" hidden="1" customWidth="1"/>
    <col min="63" max="63" width="19.7109375" style="192" hidden="1" customWidth="1"/>
    <col min="64" max="67" width="15.140625" style="66" hidden="1" customWidth="1"/>
    <col min="68" max="68" width="18.5703125" style="66" hidden="1" customWidth="1"/>
    <col min="69" max="69" width="20.5703125" style="66" hidden="1" customWidth="1"/>
    <col min="70" max="70" width="16.42578125" style="66" hidden="1" customWidth="1"/>
    <col min="71" max="71" width="14.28515625" style="66" hidden="1" customWidth="1"/>
    <col min="72" max="72" width="15.7109375" style="66" hidden="1" customWidth="1"/>
    <col min="73" max="73" width="12.140625" style="55" hidden="1" customWidth="1"/>
    <col min="74" max="74" width="20.28515625" style="191" hidden="1" customWidth="1"/>
    <col min="75" max="75" width="21.140625" style="191" hidden="1" customWidth="1"/>
    <col min="76" max="77" width="12.140625" style="55" hidden="1" customWidth="1"/>
    <col min="78" max="78" width="12.140625" style="66" hidden="1" customWidth="1"/>
    <col min="79" max="79" width="32.42578125" style="191" hidden="1" customWidth="1"/>
    <col min="80" max="80" width="29.5703125" style="66" hidden="1" customWidth="1"/>
    <col min="81" max="81" width="26" style="66" hidden="1" customWidth="1"/>
    <col min="82" max="82" width="26.28515625" style="66" hidden="1" customWidth="1"/>
    <col min="83" max="83" width="19.42578125" style="66" hidden="1" customWidth="1"/>
    <col min="84" max="84" width="30.42578125" style="191" hidden="1" customWidth="1"/>
    <col min="85" max="85" width="33" style="191" hidden="1" customWidth="1"/>
    <col min="86" max="86" width="21.7109375" style="66" hidden="1" customWidth="1"/>
    <col min="87" max="87" width="24" style="66" hidden="1" customWidth="1"/>
    <col min="88" max="88" width="27.42578125" style="191" hidden="1" customWidth="1"/>
    <col min="89" max="89" width="21.85546875" style="191" hidden="1" customWidth="1"/>
    <col min="90" max="90" width="19.42578125" style="191" hidden="1" customWidth="1"/>
    <col min="91" max="92" width="35.85546875" style="55" hidden="1" customWidth="1"/>
    <col min="93" max="93" width="43.7109375" style="55" hidden="1" customWidth="1"/>
    <col min="94" max="94" width="28.42578125" style="365" hidden="1" customWidth="1"/>
    <col min="95" max="95" width="16.140625" style="191" hidden="1" customWidth="1"/>
    <col min="96" max="96" width="21.5703125" style="191" hidden="1" customWidth="1"/>
    <col min="97" max="97" width="20.7109375" style="191" hidden="1" customWidth="1"/>
    <col min="98" max="98" width="15.85546875" style="191" hidden="1" customWidth="1"/>
    <col min="99" max="100" width="23.5703125" style="192" hidden="1" customWidth="1"/>
    <col min="101" max="101" width="27.5703125" style="191" hidden="1" customWidth="1"/>
    <col min="102" max="102" width="27.5703125" style="66" hidden="1" customWidth="1"/>
    <col min="103" max="104" width="27.5703125" style="191" hidden="1" customWidth="1"/>
    <col min="105" max="105" width="27.85546875" style="66" hidden="1" customWidth="1"/>
    <col min="106" max="106" width="25.7109375" style="55" hidden="1" customWidth="1"/>
    <col min="107" max="107" width="32.85546875" style="66" hidden="1" customWidth="1"/>
    <col min="108" max="108" width="35.42578125" style="55" hidden="1" customWidth="1"/>
    <col min="109" max="109" width="28" style="55" hidden="1" customWidth="1"/>
    <col min="110" max="110" width="32.140625" style="55" hidden="1" customWidth="1"/>
    <col min="111" max="111" width="38" style="55" hidden="1" customWidth="1"/>
    <col min="112" max="112" width="36.85546875" style="191" hidden="1" customWidth="1"/>
    <col min="113" max="113" width="24.42578125" style="55" hidden="1" customWidth="1"/>
    <col min="114" max="114" width="9.140625" style="55" hidden="1" customWidth="1"/>
    <col min="115" max="115" width="29.85546875" style="223" hidden="1" customWidth="1"/>
    <col min="116" max="116" width="31.85546875" style="55" hidden="1" customWidth="1"/>
    <col min="117" max="117" width="62" style="55" hidden="1" customWidth="1"/>
    <col min="118" max="120" width="37.42578125" style="192" hidden="1" customWidth="1"/>
    <col min="121" max="121" width="9.140625" style="55" hidden="1" customWidth="1"/>
    <col min="122" max="122" width="27.42578125" style="66" hidden="1" customWidth="1"/>
    <col min="123" max="123" width="22" style="66" hidden="1" customWidth="1"/>
    <col min="124" max="124" width="20.42578125" style="66" hidden="1" customWidth="1"/>
    <col min="125" max="126" width="21.7109375" style="66" hidden="1" customWidth="1"/>
    <col min="127" max="127" width="19.5703125" style="66" hidden="1" customWidth="1"/>
    <col min="128" max="130" width="29.28515625" style="66" hidden="1" customWidth="1"/>
    <col min="131" max="131" width="33.28515625" style="66" hidden="1" customWidth="1"/>
    <col min="132" max="132" width="42.28515625" style="55" hidden="1" customWidth="1"/>
    <col min="133" max="135" width="19.5703125" style="191" hidden="1" customWidth="1"/>
    <col min="136" max="136" width="19.7109375" style="55" hidden="1" customWidth="1"/>
    <col min="137" max="137" width="39" style="55" hidden="1" customWidth="1"/>
    <col min="138" max="138" width="7.5703125" style="55" hidden="1" customWidth="1"/>
    <col min="139" max="139" width="17.42578125" style="55" hidden="1" customWidth="1"/>
    <col min="140" max="142" width="24.42578125" style="55" hidden="1" customWidth="1"/>
    <col min="143" max="143" width="32.42578125" style="55" hidden="1" customWidth="1"/>
    <col min="144" max="147" width="34.85546875" style="55" hidden="1" customWidth="1"/>
    <col min="148" max="149" width="19.42578125" style="55" hidden="1" customWidth="1"/>
    <col min="150" max="152" width="22.42578125" style="55" hidden="1" customWidth="1"/>
    <col min="153" max="155" width="25.5703125" style="55" hidden="1" customWidth="1"/>
    <col min="156" max="156" width="29.140625" style="55" hidden="1" customWidth="1"/>
    <col min="157" max="157" width="25.5703125" style="55" hidden="1" customWidth="1"/>
    <col min="158" max="162" width="19.42578125" style="55" hidden="1" customWidth="1"/>
    <col min="163" max="163" width="26.85546875" style="55" hidden="1" customWidth="1"/>
    <col min="164" max="164" width="19" style="55" hidden="1" customWidth="1"/>
    <col min="165" max="165" width="15.140625" style="55" hidden="1" customWidth="1"/>
    <col min="166" max="166" width="20.7109375" style="55" hidden="1" customWidth="1"/>
    <col min="167" max="171" width="40.7109375" style="55" hidden="1" customWidth="1"/>
    <col min="172" max="174" width="26.140625" style="55" hidden="1" customWidth="1"/>
    <col min="175" max="176" width="20" style="55" hidden="1" customWidth="1"/>
    <col min="177" max="177" width="33.140625" style="55" hidden="1" customWidth="1"/>
    <col min="178" max="179" width="21.85546875" style="55" hidden="1" customWidth="1"/>
    <col min="180" max="180" width="33.140625" style="55" hidden="1" customWidth="1"/>
    <col min="181" max="182" width="26.28515625" style="55" hidden="1" customWidth="1"/>
    <col min="183" max="183" width="40.42578125" style="55" hidden="1" customWidth="1"/>
    <col min="184" max="185" width="26.28515625" style="55" hidden="1" customWidth="1"/>
    <col min="186" max="186" width="40.42578125" style="55" hidden="1" customWidth="1"/>
    <col min="187" max="187" width="29.85546875" style="55" hidden="1" customWidth="1"/>
    <col min="188" max="190" width="45.140625" style="55" hidden="1" customWidth="1"/>
    <col min="191" max="191" width="20" style="55" hidden="1" customWidth="1"/>
    <col min="192" max="193" width="12.5703125" style="55" hidden="1" customWidth="1"/>
    <col min="194" max="194" width="29" style="55" hidden="1" customWidth="1"/>
    <col min="195" max="195" width="10.5703125" style="55" hidden="1" customWidth="1"/>
    <col min="196" max="196" width="26.85546875" style="55" hidden="1" customWidth="1"/>
    <col min="197" max="198" width="9.140625" style="55" hidden="1" customWidth="1"/>
    <col min="199" max="199" width="67.28515625" style="55" hidden="1" customWidth="1"/>
    <col min="200" max="208" width="9.140625" style="55" hidden="1" customWidth="1"/>
    <col min="209" max="221" width="9.140625" style="55" customWidth="1"/>
    <col min="222" max="16384" width="9.140625" style="55"/>
  </cols>
  <sheetData>
    <row r="1" spans="1:199" ht="27" customHeight="1">
      <c r="A1" s="698"/>
      <c r="B1" s="698"/>
      <c r="C1" s="698"/>
      <c r="D1" s="698"/>
      <c r="E1" s="698"/>
      <c r="F1" s="698"/>
      <c r="G1" s="698"/>
      <c r="H1" s="694" t="s">
        <v>176</v>
      </c>
      <c r="I1" s="694"/>
      <c r="J1" s="695"/>
      <c r="K1" s="59"/>
      <c r="L1" s="553" t="s">
        <v>0</v>
      </c>
      <c r="M1" s="615"/>
      <c r="N1" s="616">
        <f>'Shutters Page 1'!N1:AA1</f>
        <v>0</v>
      </c>
      <c r="O1" s="616"/>
      <c r="P1" s="616"/>
      <c r="Q1" s="616"/>
      <c r="R1" s="616"/>
      <c r="S1" s="616"/>
      <c r="T1" s="616"/>
      <c r="U1" s="616"/>
      <c r="V1" s="616"/>
      <c r="W1" s="616"/>
      <c r="X1" s="616"/>
      <c r="Y1" s="616"/>
      <c r="Z1" s="616"/>
      <c r="AA1" s="616"/>
      <c r="AB1" s="621" t="s">
        <v>1867</v>
      </c>
      <c r="AC1" s="622"/>
      <c r="AD1" s="393" t="s">
        <v>1997</v>
      </c>
      <c r="AE1" s="278">
        <f>'Shutters Page 1'!AE1</f>
        <v>0</v>
      </c>
      <c r="AF1" s="614"/>
      <c r="AG1" s="613"/>
      <c r="AH1" s="55"/>
    </row>
    <row r="2" spans="1:199" ht="21" customHeight="1">
      <c r="A2" s="699"/>
      <c r="B2" s="699"/>
      <c r="C2" s="699"/>
      <c r="D2" s="699"/>
      <c r="E2" s="699"/>
      <c r="F2" s="699"/>
      <c r="G2" s="699"/>
      <c r="H2" s="696"/>
      <c r="I2" s="696"/>
      <c r="J2" s="697"/>
      <c r="K2" s="61"/>
      <c r="L2" s="553" t="s">
        <v>141</v>
      </c>
      <c r="M2" s="615"/>
      <c r="N2" s="617">
        <f>'Shutters Page 1'!N2:AA2</f>
        <v>0</v>
      </c>
      <c r="O2" s="617"/>
      <c r="P2" s="617"/>
      <c r="Q2" s="617"/>
      <c r="R2" s="617"/>
      <c r="S2" s="617"/>
      <c r="T2" s="617"/>
      <c r="U2" s="617"/>
      <c r="V2" s="617"/>
      <c r="W2" s="617"/>
      <c r="X2" s="617"/>
      <c r="Y2" s="617"/>
      <c r="Z2" s="617"/>
      <c r="AA2" s="617"/>
      <c r="AB2" s="623" t="s">
        <v>1866</v>
      </c>
      <c r="AC2" s="623"/>
      <c r="AD2" s="620">
        <f>'Shutters Page 1'!AD2:AE2</f>
        <v>0</v>
      </c>
      <c r="AE2" s="620"/>
      <c r="AF2" s="461"/>
      <c r="AG2" s="613"/>
      <c r="AP2" s="55" t="s">
        <v>309</v>
      </c>
    </row>
    <row r="3" spans="1:199" ht="21" customHeight="1">
      <c r="A3" s="691" t="s">
        <v>1827</v>
      </c>
      <c r="B3" s="692"/>
      <c r="C3" s="692"/>
      <c r="D3" s="692"/>
      <c r="E3" s="693"/>
      <c r="F3" s="688" t="str">
        <f>'Shutters Page 1'!F3:J3</f>
        <v>shutterorders@pacificwholesale.com.au</v>
      </c>
      <c r="G3" s="689"/>
      <c r="H3" s="689"/>
      <c r="I3" s="689"/>
      <c r="J3" s="690"/>
      <c r="K3" s="59"/>
      <c r="L3" s="553" t="s">
        <v>142</v>
      </c>
      <c r="M3" s="615"/>
      <c r="N3" s="629">
        <f>'Shutters Page 1'!N3:AA3</f>
        <v>0</v>
      </c>
      <c r="O3" s="630"/>
      <c r="P3" s="629"/>
      <c r="Q3" s="629"/>
      <c r="R3" s="629"/>
      <c r="S3" s="629"/>
      <c r="T3" s="629"/>
      <c r="U3" s="629"/>
      <c r="V3" s="629"/>
      <c r="W3" s="629"/>
      <c r="X3" s="629"/>
      <c r="Y3" s="629"/>
      <c r="Z3" s="629"/>
      <c r="AA3" s="629"/>
      <c r="AB3" s="627" t="s">
        <v>160</v>
      </c>
      <c r="AC3" s="627"/>
      <c r="AD3" s="618">
        <f>SUM(AE9:AE23)</f>
        <v>0</v>
      </c>
      <c r="AE3" s="618"/>
      <c r="AF3" s="63"/>
      <c r="AG3" s="64"/>
      <c r="AP3" s="55" t="s">
        <v>2040</v>
      </c>
      <c r="AQ3" s="55" t="s">
        <v>2041</v>
      </c>
    </row>
    <row r="4" spans="1:199" ht="21" customHeight="1">
      <c r="A4" s="703" t="s">
        <v>457</v>
      </c>
      <c r="B4" s="704"/>
      <c r="C4" s="704"/>
      <c r="D4" s="704"/>
      <c r="E4" s="705"/>
      <c r="F4" s="703">
        <f>'Shutters Page 1'!F4:J5</f>
        <v>0</v>
      </c>
      <c r="G4" s="704"/>
      <c r="H4" s="704"/>
      <c r="I4" s="704"/>
      <c r="J4" s="705"/>
      <c r="K4" s="61"/>
      <c r="L4" s="553" t="s">
        <v>973</v>
      </c>
      <c r="M4" s="615"/>
      <c r="N4" s="563">
        <f>'Shutters Page 1'!N4:AA4</f>
        <v>0</v>
      </c>
      <c r="O4" s="564"/>
      <c r="P4" s="564"/>
      <c r="Q4" s="564"/>
      <c r="R4" s="564"/>
      <c r="S4" s="564"/>
      <c r="T4" s="564"/>
      <c r="U4" s="564"/>
      <c r="V4" s="564"/>
      <c r="W4" s="564"/>
      <c r="X4" s="564"/>
      <c r="Y4" s="564"/>
      <c r="Z4" s="564"/>
      <c r="AA4" s="565"/>
      <c r="AB4" s="628" t="s">
        <v>589</v>
      </c>
      <c r="AC4" s="628"/>
      <c r="AD4" s="619">
        <f>SUM(F9:F23)</f>
        <v>0</v>
      </c>
      <c r="AE4" s="619"/>
      <c r="AF4" s="614"/>
      <c r="AG4" s="462"/>
      <c r="AI4" s="55" t="s">
        <v>308</v>
      </c>
      <c r="AJ4" s="55" t="s">
        <v>309</v>
      </c>
      <c r="AP4" s="55" t="s">
        <v>2038</v>
      </c>
      <c r="AQ4" s="55" t="s">
        <v>338</v>
      </c>
    </row>
    <row r="5" spans="1:199" ht="21" customHeight="1">
      <c r="A5" s="706"/>
      <c r="B5" s="707"/>
      <c r="C5" s="707"/>
      <c r="D5" s="707"/>
      <c r="E5" s="708"/>
      <c r="F5" s="706"/>
      <c r="G5" s="707"/>
      <c r="H5" s="707"/>
      <c r="I5" s="707"/>
      <c r="J5" s="708"/>
      <c r="K5" s="306" t="s">
        <v>1035</v>
      </c>
      <c r="L5" s="553" t="s">
        <v>143</v>
      </c>
      <c r="M5" s="615"/>
      <c r="N5" s="490">
        <f>'Shutters Page 1'!N5:AA5</f>
        <v>0</v>
      </c>
      <c r="O5" s="490"/>
      <c r="P5" s="490"/>
      <c r="Q5" s="490"/>
      <c r="R5" s="490"/>
      <c r="S5" s="490"/>
      <c r="T5" s="490"/>
      <c r="U5" s="490"/>
      <c r="V5" s="490"/>
      <c r="W5" s="490"/>
      <c r="X5" s="490"/>
      <c r="Y5" s="490"/>
      <c r="Z5" s="490"/>
      <c r="AA5" s="490"/>
      <c r="AB5" s="625" t="s">
        <v>1944</v>
      </c>
      <c r="AC5" s="625"/>
      <c r="AD5" s="626">
        <f>'Shutters Page 1'!AD5:AE5</f>
        <v>0</v>
      </c>
      <c r="AE5" s="626"/>
      <c r="AF5" s="614"/>
      <c r="AG5" s="462"/>
      <c r="AP5" s="55" t="s">
        <v>2039</v>
      </c>
      <c r="GE5" s="55" t="s">
        <v>1862</v>
      </c>
      <c r="GF5" s="55" t="s">
        <v>313</v>
      </c>
      <c r="GG5" s="55" t="s">
        <v>1546</v>
      </c>
      <c r="GH5" s="55" t="s">
        <v>869</v>
      </c>
    </row>
    <row r="6" spans="1:199" ht="15" customHeight="1">
      <c r="A6" s="700" t="s">
        <v>961</v>
      </c>
      <c r="B6" s="701"/>
      <c r="C6" s="701"/>
      <c r="D6" s="701"/>
      <c r="E6" s="701"/>
      <c r="F6" s="701"/>
      <c r="G6" s="701"/>
      <c r="H6" s="701"/>
      <c r="I6" s="701"/>
      <c r="J6" s="702"/>
      <c r="K6" s="346">
        <f>'Shutters Page 1'!K6</f>
        <v>41</v>
      </c>
      <c r="L6" s="680" t="s">
        <v>654</v>
      </c>
      <c r="M6" s="681"/>
      <c r="N6" s="674" t="str">
        <f>CO13</f>
        <v xml:space="preserve">         </v>
      </c>
      <c r="O6" s="675"/>
      <c r="P6" s="675"/>
      <c r="Q6" s="675"/>
      <c r="R6" s="675"/>
      <c r="S6" s="675"/>
      <c r="T6" s="675"/>
      <c r="U6" s="675"/>
      <c r="V6" s="675"/>
      <c r="W6" s="675"/>
      <c r="X6" s="675"/>
      <c r="Y6" s="675"/>
      <c r="Z6" s="676"/>
      <c r="AA6" s="677"/>
      <c r="AB6" s="660" t="s">
        <v>1803</v>
      </c>
      <c r="AC6" s="660"/>
      <c r="AD6" s="661" t="str">
        <f>'Shutters Page 1'!AD6:AE6</f>
        <v>SYD</v>
      </c>
      <c r="AE6" s="661"/>
      <c r="GE6" s="55" t="s">
        <v>1863</v>
      </c>
      <c r="GQ6" s="55" t="s">
        <v>1783</v>
      </c>
    </row>
    <row r="7" spans="1:199" ht="15.75" thickBot="1">
      <c r="A7" s="132"/>
      <c r="B7" s="671" t="s">
        <v>725</v>
      </c>
      <c r="C7" s="672"/>
      <c r="D7" s="672"/>
      <c r="E7" s="672"/>
      <c r="F7" s="672"/>
      <c r="G7" s="672"/>
      <c r="H7" s="672"/>
      <c r="I7" s="672"/>
      <c r="J7" s="673"/>
      <c r="K7" s="153" t="s">
        <v>731</v>
      </c>
      <c r="L7" s="152"/>
      <c r="M7" s="671" t="s">
        <v>725</v>
      </c>
      <c r="N7" s="672"/>
      <c r="O7" s="672"/>
      <c r="P7" s="672"/>
      <c r="Q7" s="672"/>
      <c r="R7" s="672"/>
      <c r="S7" s="672"/>
      <c r="T7" s="672"/>
      <c r="U7" s="672"/>
      <c r="V7" s="672"/>
      <c r="W7" s="673"/>
      <c r="X7" s="557" t="s">
        <v>952</v>
      </c>
      <c r="Y7" s="558"/>
      <c r="Z7" s="511" t="str">
        <f>DM24</f>
        <v/>
      </c>
      <c r="AA7" s="512"/>
      <c r="AB7" s="678"/>
      <c r="AC7" s="679"/>
      <c r="DR7" s="174" t="s">
        <v>822</v>
      </c>
      <c r="DS7" s="174"/>
      <c r="DT7" s="174"/>
      <c r="DU7" s="174"/>
      <c r="DV7" s="174"/>
      <c r="DW7" s="174"/>
      <c r="EN7" s="55" t="s">
        <v>2039</v>
      </c>
      <c r="EW7" s="162"/>
      <c r="EX7" s="162"/>
      <c r="EY7" s="174" t="s">
        <v>22</v>
      </c>
      <c r="EZ7" s="162"/>
      <c r="FA7" s="280"/>
      <c r="FL7" s="714" t="s">
        <v>867</v>
      </c>
      <c r="FM7" s="714"/>
      <c r="FN7" s="714"/>
      <c r="GQ7" s="55" t="s">
        <v>1546</v>
      </c>
    </row>
    <row r="8" spans="1:199" ht="49.5" customHeight="1" thickTop="1" thickBot="1">
      <c r="A8" s="67" t="s">
        <v>144</v>
      </c>
      <c r="B8" s="133" t="s">
        <v>145</v>
      </c>
      <c r="C8" s="133" t="s">
        <v>146</v>
      </c>
      <c r="D8" s="134" t="s">
        <v>147</v>
      </c>
      <c r="E8" s="135" t="s">
        <v>206</v>
      </c>
      <c r="F8" s="135" t="s">
        <v>950</v>
      </c>
      <c r="G8" s="136" t="s">
        <v>873</v>
      </c>
      <c r="H8" s="710" t="s">
        <v>150</v>
      </c>
      <c r="I8" s="711"/>
      <c r="J8" s="134" t="s">
        <v>148</v>
      </c>
      <c r="K8" s="154" t="s">
        <v>787</v>
      </c>
      <c r="L8" s="77" t="s">
        <v>151</v>
      </c>
      <c r="M8" s="138" t="s">
        <v>14</v>
      </c>
      <c r="N8" s="139" t="s">
        <v>153</v>
      </c>
      <c r="O8" s="409" t="s">
        <v>2037</v>
      </c>
      <c r="P8" s="137" t="s">
        <v>152</v>
      </c>
      <c r="Q8" s="686" t="s">
        <v>155</v>
      </c>
      <c r="R8" s="687"/>
      <c r="S8" s="138" t="s">
        <v>361</v>
      </c>
      <c r="T8" s="139" t="s">
        <v>362</v>
      </c>
      <c r="U8" s="139" t="s">
        <v>363</v>
      </c>
      <c r="V8" s="139" t="s">
        <v>380</v>
      </c>
      <c r="W8" s="138" t="s">
        <v>159</v>
      </c>
      <c r="X8" s="68" t="s">
        <v>154</v>
      </c>
      <c r="Y8" s="68" t="s">
        <v>381</v>
      </c>
      <c r="Z8" s="68" t="s">
        <v>956</v>
      </c>
      <c r="AA8" s="68" t="s">
        <v>156</v>
      </c>
      <c r="AB8" s="68" t="s">
        <v>157</v>
      </c>
      <c r="AC8" s="68" t="s">
        <v>158</v>
      </c>
      <c r="AD8" s="68" t="s">
        <v>692</v>
      </c>
      <c r="AE8" s="167" t="s">
        <v>160</v>
      </c>
      <c r="AF8" s="238"/>
      <c r="AG8" s="238"/>
      <c r="AI8" s="55" t="s">
        <v>1966</v>
      </c>
      <c r="AJ8" s="55" t="s">
        <v>1967</v>
      </c>
      <c r="AK8" s="55" t="s">
        <v>1968</v>
      </c>
      <c r="AL8" s="55" t="s">
        <v>149</v>
      </c>
      <c r="AP8" s="55" t="s">
        <v>2040</v>
      </c>
      <c r="AV8" s="98" t="s">
        <v>455</v>
      </c>
      <c r="AW8" s="56" t="s">
        <v>967</v>
      </c>
      <c r="AX8" s="224" t="s">
        <v>964</v>
      </c>
      <c r="AY8" s="224" t="s">
        <v>965</v>
      </c>
      <c r="AZ8" s="174" t="s">
        <v>154</v>
      </c>
      <c r="BA8" s="359" t="s">
        <v>339</v>
      </c>
      <c r="BB8" s="360" t="s">
        <v>382</v>
      </c>
      <c r="BC8" s="155" t="s">
        <v>400</v>
      </c>
      <c r="BD8" s="360" t="s">
        <v>401</v>
      </c>
      <c r="BE8" s="359" t="s">
        <v>587</v>
      </c>
      <c r="BF8" s="360" t="s">
        <v>402</v>
      </c>
      <c r="BG8" s="155" t="s">
        <v>403</v>
      </c>
      <c r="BH8" s="359" t="s">
        <v>159</v>
      </c>
      <c r="BI8" s="359" t="s">
        <v>406</v>
      </c>
      <c r="BJ8" s="155" t="s">
        <v>381</v>
      </c>
      <c r="BK8" s="360" t="s">
        <v>159</v>
      </c>
      <c r="BL8" s="155" t="s">
        <v>431</v>
      </c>
      <c r="BM8" s="155" t="s">
        <v>432</v>
      </c>
      <c r="BN8" s="155" t="s">
        <v>433</v>
      </c>
      <c r="BO8" s="155" t="s">
        <v>434</v>
      </c>
      <c r="BP8" s="155" t="s">
        <v>424</v>
      </c>
      <c r="BQ8" s="359" t="s">
        <v>428</v>
      </c>
      <c r="BR8" s="156" t="s">
        <v>456</v>
      </c>
      <c r="BS8" s="156" t="s">
        <v>462</v>
      </c>
      <c r="BT8" s="156" t="s">
        <v>463</v>
      </c>
      <c r="BU8" s="157" t="s">
        <v>583</v>
      </c>
      <c r="BV8" s="157" t="s">
        <v>581</v>
      </c>
      <c r="BW8" s="157" t="s">
        <v>363</v>
      </c>
      <c r="BX8" s="157" t="s">
        <v>584</v>
      </c>
      <c r="BY8" s="157" t="s">
        <v>585</v>
      </c>
      <c r="BZ8" s="157" t="s">
        <v>586</v>
      </c>
      <c r="CA8" s="352" t="s">
        <v>590</v>
      </c>
      <c r="CB8" s="352" t="s">
        <v>148</v>
      </c>
      <c r="CC8" s="158" t="s">
        <v>612</v>
      </c>
      <c r="CD8" s="293" t="s">
        <v>613</v>
      </c>
      <c r="CE8" s="358" t="s">
        <v>616</v>
      </c>
      <c r="CF8" s="158" t="s">
        <v>617</v>
      </c>
      <c r="CG8" s="158" t="s">
        <v>155</v>
      </c>
      <c r="CH8" s="158" t="s">
        <v>649</v>
      </c>
      <c r="CI8" s="158" t="s">
        <v>650</v>
      </c>
      <c r="CJ8" s="158" t="s">
        <v>651</v>
      </c>
      <c r="CK8" s="158" t="s">
        <v>652</v>
      </c>
      <c r="CL8" s="158" t="s">
        <v>653</v>
      </c>
      <c r="CM8" s="159"/>
      <c r="CN8" s="159"/>
      <c r="CO8" s="159" t="s">
        <v>658</v>
      </c>
      <c r="CP8" s="347" t="s">
        <v>729</v>
      </c>
      <c r="CQ8" s="157" t="s">
        <v>729</v>
      </c>
      <c r="CR8" s="157" t="s">
        <v>730</v>
      </c>
      <c r="CS8" s="157" t="s">
        <v>155</v>
      </c>
      <c r="CT8" s="157" t="s">
        <v>731</v>
      </c>
      <c r="CU8" s="157" t="s">
        <v>732</v>
      </c>
      <c r="CV8" s="157" t="s">
        <v>1987</v>
      </c>
      <c r="CW8" s="347" t="s">
        <v>750</v>
      </c>
      <c r="CX8" s="157" t="s">
        <v>874</v>
      </c>
      <c r="CY8" s="350" t="s">
        <v>875</v>
      </c>
      <c r="CZ8" s="350" t="s">
        <v>876</v>
      </c>
      <c r="DA8" s="352" t="s">
        <v>751</v>
      </c>
      <c r="DB8" s="358" t="s">
        <v>781</v>
      </c>
      <c r="DC8" s="158" t="s">
        <v>782</v>
      </c>
      <c r="DD8" s="126" t="s">
        <v>784</v>
      </c>
      <c r="DE8" s="126" t="s">
        <v>783</v>
      </c>
      <c r="DF8" s="126" t="s">
        <v>785</v>
      </c>
      <c r="DG8" s="126" t="s">
        <v>791</v>
      </c>
      <c r="DH8" s="193" t="s">
        <v>381</v>
      </c>
      <c r="DI8" s="126" t="s">
        <v>2044</v>
      </c>
      <c r="DJ8" s="126"/>
      <c r="DK8" s="193" t="s">
        <v>800</v>
      </c>
      <c r="DL8" s="193" t="s">
        <v>801</v>
      </c>
      <c r="DM8" s="193" t="s">
        <v>819</v>
      </c>
      <c r="DN8" s="126" t="s">
        <v>945</v>
      </c>
      <c r="DO8" s="126" t="s">
        <v>2010</v>
      </c>
      <c r="DP8" s="126" t="s">
        <v>945</v>
      </c>
      <c r="DQ8" s="126"/>
      <c r="DR8" s="175" t="s">
        <v>821</v>
      </c>
      <c r="DS8" s="175" t="s">
        <v>823</v>
      </c>
      <c r="DT8" s="175" t="s">
        <v>824</v>
      </c>
      <c r="DU8" s="175" t="s">
        <v>825</v>
      </c>
      <c r="DV8" s="175" t="s">
        <v>826</v>
      </c>
      <c r="DW8" s="175" t="s">
        <v>827</v>
      </c>
      <c r="DX8" s="193" t="s">
        <v>1999</v>
      </c>
      <c r="DY8" s="193" t="s">
        <v>2000</v>
      </c>
      <c r="DZ8" s="193" t="s">
        <v>152</v>
      </c>
      <c r="EA8" s="193" t="s">
        <v>153</v>
      </c>
      <c r="EB8" s="126" t="s">
        <v>14</v>
      </c>
      <c r="EC8" s="222" t="s">
        <v>953</v>
      </c>
      <c r="ED8" s="222" t="s">
        <v>954</v>
      </c>
      <c r="EE8" s="275" t="s">
        <v>955</v>
      </c>
      <c r="EF8" s="225" t="s">
        <v>966</v>
      </c>
      <c r="EG8" s="66" t="s">
        <v>1032</v>
      </c>
      <c r="EH8" s="66" t="s">
        <v>965</v>
      </c>
      <c r="EI8" s="55" t="s">
        <v>1033</v>
      </c>
      <c r="EJ8" s="162" t="s">
        <v>1036</v>
      </c>
      <c r="EK8" s="405" t="s">
        <v>2011</v>
      </c>
      <c r="EL8" s="405" t="s">
        <v>363</v>
      </c>
      <c r="EM8" s="174" t="s">
        <v>363</v>
      </c>
      <c r="EN8" s="174" t="s">
        <v>1054</v>
      </c>
      <c r="EO8" s="174" t="s">
        <v>2049</v>
      </c>
      <c r="EP8" s="406" t="s">
        <v>2012</v>
      </c>
      <c r="EQ8" s="406" t="s">
        <v>2013</v>
      </c>
      <c r="ER8" s="356" t="s">
        <v>1085</v>
      </c>
      <c r="ES8" s="357" t="s">
        <v>1086</v>
      </c>
      <c r="ET8" s="354" t="s">
        <v>1087</v>
      </c>
      <c r="EU8" s="354" t="s">
        <v>1990</v>
      </c>
      <c r="EV8" s="354" t="s">
        <v>355</v>
      </c>
      <c r="EW8" s="289" t="s">
        <v>1462</v>
      </c>
      <c r="EX8" s="289" t="s">
        <v>1463</v>
      </c>
      <c r="EY8" s="289" t="s">
        <v>1464</v>
      </c>
      <c r="EZ8" s="289" t="s">
        <v>1465</v>
      </c>
      <c r="FA8" s="291" t="s">
        <v>732</v>
      </c>
      <c r="FB8" s="279" t="s">
        <v>869</v>
      </c>
      <c r="FC8" s="353" t="s">
        <v>1783</v>
      </c>
      <c r="FD8" s="353" t="s">
        <v>1784</v>
      </c>
      <c r="FE8" s="279" t="s">
        <v>870</v>
      </c>
      <c r="FF8" s="295" t="s">
        <v>868</v>
      </c>
      <c r="FG8" s="295" t="s">
        <v>1466</v>
      </c>
      <c r="FH8" s="289" t="s">
        <v>1467</v>
      </c>
      <c r="FI8" s="364" t="s">
        <v>1535</v>
      </c>
      <c r="FJ8" s="287" t="s">
        <v>1536</v>
      </c>
      <c r="FK8" s="364" t="s">
        <v>1537</v>
      </c>
      <c r="FL8" s="364" t="s">
        <v>1535</v>
      </c>
      <c r="FM8" s="287" t="s">
        <v>1536</v>
      </c>
      <c r="FN8" s="410" t="s">
        <v>2061</v>
      </c>
      <c r="FO8" s="410" t="s">
        <v>2060</v>
      </c>
      <c r="FP8" s="287" t="s">
        <v>1832</v>
      </c>
      <c r="FQ8" s="287" t="s">
        <v>1830</v>
      </c>
      <c r="FR8" s="364" t="s">
        <v>1831</v>
      </c>
      <c r="FS8" s="287" t="s">
        <v>1850</v>
      </c>
      <c r="FT8" s="287" t="s">
        <v>1851</v>
      </c>
      <c r="FU8" s="364" t="s">
        <v>1852</v>
      </c>
      <c r="FV8" s="287" t="s">
        <v>1853</v>
      </c>
      <c r="FW8" s="287" t="s">
        <v>1854</v>
      </c>
      <c r="FX8" s="364" t="s">
        <v>1855</v>
      </c>
      <c r="FY8" s="287" t="s">
        <v>1856</v>
      </c>
      <c r="FZ8" s="287" t="s">
        <v>1857</v>
      </c>
      <c r="GA8" s="364" t="s">
        <v>1858</v>
      </c>
      <c r="GB8" s="287" t="s">
        <v>1859</v>
      </c>
      <c r="GC8" s="287" t="s">
        <v>1860</v>
      </c>
      <c r="GD8" s="364" t="s">
        <v>1861</v>
      </c>
      <c r="GE8" s="392" t="s">
        <v>1864</v>
      </c>
      <c r="GF8" s="278" t="s">
        <v>1865</v>
      </c>
      <c r="GG8" s="278" t="s">
        <v>1915</v>
      </c>
      <c r="GH8" s="278" t="s">
        <v>1915</v>
      </c>
      <c r="GI8" s="278" t="s">
        <v>692</v>
      </c>
      <c r="GJ8" s="55" t="s">
        <v>1921</v>
      </c>
      <c r="GL8" s="55" t="s">
        <v>1994</v>
      </c>
      <c r="GM8" s="55" t="s">
        <v>1995</v>
      </c>
      <c r="GN8" s="55" t="s">
        <v>1996</v>
      </c>
      <c r="GQ8" s="55" t="s">
        <v>203</v>
      </c>
    </row>
    <row r="9" spans="1:199" ht="36.75" customHeight="1" thickTop="1">
      <c r="A9" s="51">
        <v>1</v>
      </c>
      <c r="B9" s="9"/>
      <c r="C9" s="24"/>
      <c r="D9" s="24"/>
      <c r="E9" s="10"/>
      <c r="F9" s="24"/>
      <c r="G9" s="25"/>
      <c r="H9" s="559"/>
      <c r="I9" s="712"/>
      <c r="J9" s="24"/>
      <c r="K9" s="148" t="str">
        <f t="shared" ref="K9:K23" si="0">IF(G9="","",FH9)</f>
        <v/>
      </c>
      <c r="L9" s="11"/>
      <c r="M9" s="11"/>
      <c r="N9" s="398"/>
      <c r="O9" s="11"/>
      <c r="P9" s="11"/>
      <c r="Q9" s="611"/>
      <c r="R9" s="611"/>
      <c r="S9" s="13"/>
      <c r="T9" s="25"/>
      <c r="U9" s="25"/>
      <c r="V9" s="25"/>
      <c r="W9" s="398"/>
      <c r="X9" s="11"/>
      <c r="Y9" s="26"/>
      <c r="Z9" s="26"/>
      <c r="AA9" s="24"/>
      <c r="AB9" s="24"/>
      <c r="AC9" s="24"/>
      <c r="AD9" s="386"/>
      <c r="AE9" s="168" t="str">
        <f t="shared" ref="AE9:AE23" si="1">IF(SUM(D9)=0,"",IF(E9="MS",SUM(((C9*D9)/1000000)*F9),SUM(((C9*D9)/1000000))))</f>
        <v/>
      </c>
      <c r="AF9" s="236"/>
      <c r="AG9" s="237"/>
      <c r="AI9" s="55">
        <f t="shared" ref="AI9:AI23" si="2">IF(N9=$AI$4,C9/1000,0)</f>
        <v>0</v>
      </c>
      <c r="AJ9" s="55">
        <f t="shared" ref="AJ9:AJ23" si="3">IF(N9=$AJ$4,C9/1000*AK9,0)</f>
        <v>0</v>
      </c>
      <c r="AK9" s="55">
        <f>IF(P9&lt;&gt;"",VLOOKUP(P9,Data!$AAY$2:$AAZ$44,2,FALSE),0)</f>
        <v>0</v>
      </c>
      <c r="AL9" s="55" t="str">
        <f>IF(E9=Data!$BB$10,Data!$BC$10,Data!$BC$2)</f>
        <v>ShutterMaterial</v>
      </c>
      <c r="AP9" s="55" t="str">
        <f>IF(N9=$AP$2,$AP$3,$AQ$3)</f>
        <v>SlidingSystemNA</v>
      </c>
      <c r="AV9" s="113" t="str">
        <f t="shared" ref="AV9:AV23" si="4">IF(G9="Fauxwood Eco",BU9+BY9+BZ9,IF(G9="Fauxwood Eco Air",BU9+BY9+BZ9,IF(G9="Fauxwood Eco Elite",BU9+BY9+BZ9, IF(G9="Fauxwood Night",BU9+BY9+BZ9,IF(G9="Timber Eco",BX9+BY9+BZ9,"")))))</f>
        <v/>
      </c>
      <c r="AW9" s="66" t="e">
        <f t="shared" ref="AW9:AW23" si="5">IF(OR(AND(X9="",EF9="Yes")), "Yes","No")</f>
        <v>#N/A</v>
      </c>
      <c r="AX9" s="174" t="e">
        <f>VLOOKUP(Q9,Data!$MI$2:$MJ$4,2,FALSE)</f>
        <v>#N/A</v>
      </c>
      <c r="AY9" s="174" t="e">
        <f t="shared" ref="AY9:AY23" si="6">IF(OR(AND(E9="IN",AX9="Yes")), "Yes","No")</f>
        <v>#N/A</v>
      </c>
      <c r="AZ9" s="174" t="e">
        <f>VLOOKUP(N9,Data!$BI$24:$BJ$30,2,FALSE)</f>
        <v>#N/A</v>
      </c>
      <c r="BA9" s="160" t="b">
        <f>IF(G9=Data!$BO$2,Data!$BS$2, IF('Shutters Page 2'!G9=Data!$BP$2,Data!$BT$2, IF('Shutters Page 2'!G9=Data!$BQ$2,Data!$BU$2)))</f>
        <v>0</v>
      </c>
      <c r="BB9" s="361" t="str">
        <f t="shared" ref="BB9:BB23" si="7">IF(OR(AND(D9&gt;1500,G9="Fauxwood Eco",L9=""), AND(D9&gt;1500,G9="Fauxwood Night",L9=""), AND(D9&gt;1500,G9="Fauxwood Eco Air",L9=""),AND(D9&gt;1500,G9="Fauxwood Eco Elite",L9=""), AND(D9&gt;1800,G9="Timber Eco",L9="")), "Yes","No")</f>
        <v>No</v>
      </c>
      <c r="BC9" s="160" t="e">
        <f t="shared" ref="BC9:BC23" si="8">IF(E9="MS",C9*1,C9/F9)</f>
        <v>#DIV/0!</v>
      </c>
      <c r="BD9" s="361" t="e">
        <f t="shared" ref="BD9:BD23" si="9">IF(OR(AND(BC9&gt;650,G9="Fauxwood Eco"), AND(BC9&gt;650,G9="Fauxwood Night"), AND(BC9&gt;650,G9="Fauxwood Eco Air"), AND(BC9&gt;650,G9="Fauxwood Eco Elite"), AND(BC9&gt;950,G9="Timber Eco")), "Yes","No")</f>
        <v>#DIV/0!</v>
      </c>
      <c r="BE9" s="160" t="e">
        <f t="shared" ref="BE9:BE23" si="10">IF(OR(AND(BC9&gt;650,G9="Fauxwood",E9="MS"),AND(BC9&gt;700,G9="Fauxwood",E9="IN"),AND(BC9&gt;700,G9="Fauxwood",E9="OUT")), "Yes","No")</f>
        <v>#DIV/0!</v>
      </c>
      <c r="BF9" s="361" t="str">
        <f t="shared" ref="BF9:BF23" si="11">IF(OR(AND(D9&gt;2600,G9="Fauxwood Eco"),AND(D9&gt;2600,G9="Fauxwood Night"), AND(D9&gt;2600,G9="Fauxwood Eco Air"),AND(D9&gt;2600,G9="Fauxwood Eco Elite"),AND(D9&gt;3000,G9="Timber Eco")), "Yes","No")</f>
        <v>No</v>
      </c>
      <c r="BG9" s="160" t="str">
        <f t="shared" ref="BG9:BG23" si="12">IF(OR(AND(C9&gt;0,W9="")), "Required","NotRequired")</f>
        <v>NotRequired</v>
      </c>
      <c r="BH9" s="160" t="b">
        <f>IF(G9=Data!$BO$2,Data!$CM$2, IF('Shutters Page 2'!G9=Data!$BP$2,Data!$CN$2, IF('Shutters Page 2'!G9=Data!$BQ$2,Data!$CO$2)))</f>
        <v>0</v>
      </c>
      <c r="BI9" s="160" t="e">
        <f>IF(OR(AND(BA9="FauxwoodY",BD9="Yes")), "Highlight","NoHighlight")</f>
        <v>#DIV/0!</v>
      </c>
      <c r="BJ9" s="161" t="str">
        <f t="shared" ref="BJ9:BJ23" si="13">IF(OR(AND(N9="Sliding",Y9="")), "Highlight","NoHighlight")</f>
        <v>NoHighlight</v>
      </c>
      <c r="BK9" s="361" t="str">
        <f t="shared" ref="BK9:BK23" si="14">IF(OR(AND(J9="89mm",G9="Fauxwood Eco"),AND(J9="89mm",G9="Fauxwood Eco Elite")),"FauxwoodRP","FauxwoodRPNo")</f>
        <v>FauxwoodRPNo</v>
      </c>
      <c r="BL9" s="161" t="str">
        <f>IF(SUM(--ISNUMBER( SEARCH({"t","T"},P9))),"Yes","No")</f>
        <v>No</v>
      </c>
      <c r="BM9" s="161" t="str">
        <f t="shared" ref="BM9:BM23" si="15">IF(OR(AND(Z9&gt;0,AA9="")), "Error","OK")</f>
        <v>OK</v>
      </c>
      <c r="BN9" s="161" t="str">
        <f t="shared" ref="BN9:BN23" si="16">IF(OR(AND(Z9&gt;1,AB9="")), "Error","OK")</f>
        <v>OK</v>
      </c>
      <c r="BO9" s="161" t="str">
        <f t="shared" ref="BO9:BO23" si="17">IF(OR(AND(Z9&gt;2,AC9="")), "Error","OK")</f>
        <v>OK</v>
      </c>
      <c r="BP9" s="161" t="e">
        <f>IF(OR(AND(F9&gt;1,#REF!="L",#REF!="l"),AND(F9&gt;1,#REF!="R",#REF!="r"),AND(F9&gt;2,#REF!="LR",#REF!="lr")), "Error","OK")</f>
        <v>#REF!</v>
      </c>
      <c r="BQ9" s="161" t="str">
        <f t="shared" ref="BQ9:BQ23" si="18">IF(OR(AND(J9="63mm",G9="Fauxwood"),AND(J9="89mm",G9="Fauxwood")),"FauxwoodAI","FauxwoodAINo")</f>
        <v>FauxwoodAINo</v>
      </c>
      <c r="BR9" s="161" t="str">
        <f>IF(SUM(--ISNUMBER(SEARCH({"combo","Combo","COMBO"}, B26))),"Yes","No")</f>
        <v>No</v>
      </c>
      <c r="BS9" s="161" t="str">
        <f>IF(OR(AND(BL9="Yes",BR9="Yes")),"Yes","No")</f>
        <v>No</v>
      </c>
      <c r="BT9" s="161" t="str">
        <f>IF(SUM(--ISNUMBER( SEARCH({"c","C","b","B"},#REF!))),"Yes","No")</f>
        <v>No</v>
      </c>
      <c r="BU9" s="162">
        <f t="shared" ref="BU9:BU23" si="19">IF(D9="",0,IF(N9="Fixed","N/A",IF(N9="Sliding","N/A",IF(N9="Track Bi Fold","N/A",IF(N9="Pivot Hinged","N/A",IF(D9&lt;741,2,IF(D9&lt;1321,3,IF(D9&lt;1906,4,IF(D9&lt;2601,5, 6)))*IF(F9&gt;0,F9,1)))))))</f>
        <v>0</v>
      </c>
      <c r="BV9" s="174" t="str">
        <f>IF(N9=Data!$BI$3,Data!$DR$3,IF(N9=Data!$BI$4,Data!$DS$3,IF(N9=Data!$BI$5,Data!$DT$3,IF(N9=Data!$BI$6,Data!$DU$3,IF(N9=Data!$BI$7,Data!$DV$3, IF(N9=Data!$BI$8,Data!$DX$3, IF(N9=Data!$BI$9,Data!$DW$3, "")))))))</f>
        <v/>
      </c>
      <c r="BW9" s="174" t="str">
        <f>IF(N9=Data!$BI$3,Data!$DY$3,IF(N9=Data!$BI$4,Data!$DZ$3,IF(N9=Data!$BI$5,Data!$EA$3,IF(N9=Data!$BI$6,Data!$EB$3,IF(N9=Data!$BI$7,Data!$EC$3,IF(N9=Data!$BI$8,Data!$EE$3, IF(N9=Data!$BI$9,Data!$ED$3,"")))))))</f>
        <v/>
      </c>
      <c r="BX9" s="162">
        <f t="shared" ref="BX9:BX23" si="20">IF(D9="",0,IF(N9="Fixed","N/A",IF(N9="Sliding","N/A",IF(N9="Track Bi Fold","N/A",IF(N9="Pivot Hinged","N/A",IF(D9&lt;1301,2,IF(D9&lt;1801,3,IF(D9&lt;2501,4,5)))*IF(F9&gt;0,F9,1))))))</f>
        <v>0</v>
      </c>
      <c r="BY9" s="162">
        <f t="shared" ref="BY9:BY23" si="21">IF(N9="Double Hinged",F9,0)</f>
        <v>0</v>
      </c>
      <c r="BZ9" s="174" t="e">
        <f t="shared" ref="BZ9:BZ23" si="22">IF(C9/F9&gt;650,F9,0)</f>
        <v>#DIV/0!</v>
      </c>
      <c r="CA9" s="351" t="b">
        <f>IF(G9=Data!$EU$2,Data!$ES$2,IF(G9=Data!$EU$3,Data!$ER$2, IF(G9=Data!$EU$5,Data!$ET$2, IF(G9=Data!$EU$4,Data!$EQ$2,IF(G9=Data!$EU$6,Data!$ER$2)))))</f>
        <v>0</v>
      </c>
      <c r="CB9" s="351" t="b">
        <f>IF(G9=Data!$EU$2,Data!$EW$2,IF(G9=Data!$EU$3,Data!$EX$2,IF(G9=Data!$EU$4,Data!$EY$2, IF(G9=Data!$EU$5,Data!$EY$2,IF(G9=Data!$EU$6,Data!$EX$2)))))</f>
        <v>0</v>
      </c>
      <c r="CC9" s="174" t="e">
        <f>VLOOKUP(M9,Data!$EJ$3:$EK$15,2,FALSE)</f>
        <v>#N/A</v>
      </c>
      <c r="CD9" s="174" t="str">
        <f>IF(J9="114mm",VLOOKUP(H9,Data!$FA$2:$FB$18,2,FALSE),"OK")</f>
        <v>OK</v>
      </c>
      <c r="CE9" s="174" t="e">
        <f t="shared" ref="CE9:CE23" si="23">IF(OR(AND(BC9&gt;800,G9="Fauxwood",J9="63mm"),AND(BC9&gt;900,G9="Fauxwood",J9="89mm")), "Yes","No")</f>
        <v>#DIV/0!</v>
      </c>
      <c r="CF9" s="174" t="str">
        <f>IF(OR(AND(S9="",Q9&lt;&gt;"")),VLOOKUP(Q9,Data!$FC$2:$FD$19,2,FALSE),"")</f>
        <v/>
      </c>
      <c r="CG9" s="174" t="str">
        <f>IF(N9=Data!$BI$3,Data!$FJ$1,IF(N9=Data!$BI$4,Data!$FK$1,IF(N9=Data!$BI$5,Data!$FL$1,IF(N9=Data!$BI$6,Data!$FM$1,IF(N9=Data!$BI$7,Data!$FN$1, IF(N9=Data!$BI$8,Data!$FO$1, IF(N9=Data!$BI$9,Data!$FI$1, "")))))))</f>
        <v/>
      </c>
      <c r="CH9" s="174" t="str">
        <f>IF(SUM(--ISNUMBER(SEARCH({"z","Z"}, Q9))),"Yes","No")</f>
        <v>No</v>
      </c>
      <c r="CI9" s="174" t="str">
        <f t="shared" ref="CI9:CI23" si="24">IF(OR(AND(E9="OUT",CH9="Yes")), "Error","OK")</f>
        <v>OK</v>
      </c>
      <c r="CJ9" s="174">
        <f t="shared" ref="CJ9:CJ23" si="25">LEN(P9)</f>
        <v>0</v>
      </c>
      <c r="CK9" s="174" t="e">
        <f>VLOOKUP(P9,Data!$DO$4:$DP$157,2,FALSE)</f>
        <v>#N/A</v>
      </c>
      <c r="CL9" s="174" t="e">
        <f t="shared" ref="CL9:CL23" si="26">IF(F9&lt;&gt;CK9,"Failed","Passed")</f>
        <v>#N/A</v>
      </c>
      <c r="CM9" s="162"/>
      <c r="CN9" s="162" t="s">
        <v>659</v>
      </c>
      <c r="CO9" s="162" t="str">
        <f>IF(COUNTIF(M9:M23,Data!EJ4),Data!EL4,"")</f>
        <v/>
      </c>
      <c r="CP9" s="366" t="str">
        <f t="shared" ref="CP9:CP23" si="27">IF(AND(OR(G9="Fauxwood Eco", G9="Fauxwood Night", G9="Fauxwood Eco Elite", G9="Fauxwood Eco Air", N9="Hinged",N9="Track Bi Fold")), "Error","OK")</f>
        <v>OK</v>
      </c>
      <c r="CQ9" s="174" t="b">
        <f t="shared" ref="CQ9:CQ23" si="28">IF(N9="Hinged",50,IF(N9="Double Hinged",50,IF(N9="Track Bi Fold",0,IF(N9="Sliding",40,IF(N9="Fixed",0, IF(N9="Pivot Hinged",0))))))</f>
        <v>0</v>
      </c>
      <c r="CR9" s="174">
        <f t="shared" ref="CR9:CR22" si="29">IF(E9="IN",1,IF(E9="OUT",1,0))</f>
        <v>0</v>
      </c>
      <c r="CS9" s="174">
        <f t="shared" ref="CS9:CS23" si="30">IF(Q9="No Frame",0,IF(Q9="Hanging Strip",0,1))</f>
        <v>1</v>
      </c>
      <c r="CT9" s="174">
        <f>CQ9*CR9*CS9</f>
        <v>0</v>
      </c>
      <c r="CU9" s="162" t="e">
        <f t="shared" ref="CU9:CU23" si="31">IF(E9="MS",C9,IF(EY9=$EY$7,(C9-CT9)/EZ9,(C9-CT9)/F9))</f>
        <v>#DIV/0!</v>
      </c>
      <c r="CV9" s="162" t="e">
        <f>VLOOKUP(H9,Data!$BD$81:$BE$111,2,FALSE)</f>
        <v>#N/A</v>
      </c>
      <c r="CW9" s="174" t="str">
        <f t="shared" ref="CW9:CW23" si="32">IF(H9&lt;&gt;"",CV9,"")</f>
        <v/>
      </c>
      <c r="CX9" s="292" t="str">
        <f>IF(H9=Data!$BE$3,Data!$HQ$2, IF(H9=Data!$BE$4,Data!$HP$2, IF(H9=Data!$BE$5,Data!$HR$2, IF(H9=Data!$BE$6,Data!$HO$2))))</f>
        <v>Super WhiteNA</v>
      </c>
      <c r="CY9" s="351" t="b">
        <f>IF(H9=Data!$BH$3,Data!$HU$2, IF(H9=Data!$BH$4,Data!$HT$2, IF(H9=Data!$BH$5,Data!$HS$2)))</f>
        <v>0</v>
      </c>
      <c r="CZ9" s="351" t="b">
        <f>IF(H9=Data!$BF$3,Data!$HQ$16, IF(H9=Data!$BF$4,Data!$HP$16, IF(H9=Data!$BF$5,Data!$HR$16, IF(H9=Data!$BF$6,Data!$HO$16))))</f>
        <v>0</v>
      </c>
      <c r="DA9" s="351" t="b">
        <f>IF(G9=Data!$BC$3,'Shutters Page 2'!CW9,IF(G9=Data!$BC$4,'Shutters Page 2'!CX9,IF(G9=Data!$BC$6,'Shutters Page 2'!CY9, IF(G9=Data!$BC$5, 'Shutters Page 2'!CX9,IF(G9=Data!$BC$7,'Shutters Page 2'!CX9)))))</f>
        <v>0</v>
      </c>
      <c r="DB9" s="162" t="e">
        <f>IF(OR(AND(L9&gt;0,#REF!="")), "Error","OK")</f>
        <v>#REF!</v>
      </c>
      <c r="DC9" s="174" t="e">
        <f>IF(COUNTIF(#REF!,Data!$CX$6),"Yes","")</f>
        <v>#REF!</v>
      </c>
      <c r="DD9" s="55" t="str">
        <f t="shared" ref="DD9:DD23" si="33">IF(AND(OR(G9="Fauxwood"),AND(K9="Yes")), "Yes","")</f>
        <v/>
      </c>
      <c r="DE9" s="55" t="str">
        <f>IF($CO$9=Data!$EL$4,"Yes",IF('Shutters Page 2'!$CO$10=Data!$EL$5,"Yes",IF('Shutters Page 2'!$CO$11=Data!$EL$6,"Yes",IF('Shutters Page 2'!$CO$12=Data!$EL$8,"Yes",""))))</f>
        <v/>
      </c>
      <c r="DF9" s="55" t="str">
        <f>IF(COUNTIF(DC9:DE23,Data!IZ3),"Yes","")</f>
        <v/>
      </c>
      <c r="DG9" s="55" t="str">
        <f>IF(N9=Data!$BI$5,"Yes",IF(N9=Data!$BI$6,"Yes","No"))</f>
        <v>No</v>
      </c>
      <c r="DH9" s="66" t="b">
        <f>IF(N9=Data!$BI$3,Data!$JB$2,IF(N9=Data!$BI$4,Data!$JC$2,IF(N9=Data!$BI$5,Data!$JD$2,IF(N9=Data!$BI$6,DI9,IF(N9=Data!$BI$7,Data!$JF$2, IF(N9=Data!$BI$8,Data!$JA$2, IF(N9=Data!$BI$9,Data!$JG$2)))))))</f>
        <v>0</v>
      </c>
      <c r="DI9" s="55" t="e">
        <f>VLOOKUP(P9,Data!$AAY$2:$ABA$44,3,FALSE)</f>
        <v>#N/A</v>
      </c>
      <c r="DK9" s="66" t="e">
        <f>VLOOKUP(P9,Data!$DO$4:$DQ$157,3,FALSE)</f>
        <v>#N/A</v>
      </c>
      <c r="DL9" s="55" t="e">
        <f t="shared" ref="DL9:DL23" si="34">Z9-DK9</f>
        <v>#N/A</v>
      </c>
      <c r="DM9" s="55" t="e">
        <f>IF(DL9=0,"OK", "Layout Code &amp; T Post Quantity Issue")</f>
        <v>#N/A</v>
      </c>
      <c r="DN9" s="162" t="b">
        <f>IF(Q9=Data!$BK$3,Data!$JH$2,IF(Q9=Data!$BK$4,Data!$JI$2,IF(Q9=Data!$BK$5,Data!$JJ$2,IF(Q9=Data!$BK$6,Data!$JK$2,IF(Q9=Data!$BK$7,Data!$JL$2,IF(Q9=Data!$BK$8,Data!$JM$2,IF(Q9=Data!$BK$9,Data!$JN$2,IF(Q9=Data!$BK$10,Data!$JO$2,IF(Q9=Data!$BK$11,Data!$JP$2,IF(Q9=Data!$BK$12,Data!$JQ$2,IF(Q9=Data!$BK$13,Data!$JR$2,IF(Q9=Data!$BK$14,Data!$JS$2,IF(Q9=Data!$BK$15,Data!$JT$2,IF(Q9=Data!$BK$16,Data!$JU$2,IF(Q9=Data!$BK$17,Data!$JV$2,IF(Q9=Data!$BK$18,Data!$JW$2, IF(Q9=Data!$BK$19,Data!$JX$2, IF(Q9=Data!$BK$20,Data!$JY$2, IF(Q9=Data!$BK$21,Data!$JN$2, IF(Q9=Data!$BK$22,Data!$JN$2, IF(Q9=Data!$BK$23,Data!$JN$2, IF(Q9=Data!$BK$24,Data!$JL$19))))))))))))))))))))))</f>
        <v>0</v>
      </c>
      <c r="DO9" s="55" t="str">
        <f>Data!$JH$19</f>
        <v>LRFrameAir</v>
      </c>
      <c r="DP9" s="55" t="b">
        <f>IF(G9=Data!$JH$18,'Shutters Page 2'!DO9,'Shutters Page 2'!DN9)</f>
        <v>0</v>
      </c>
      <c r="DR9" s="174" t="str">
        <f>IF(COUNTIF(BM9:BO9,$DR$7),"Required","")</f>
        <v/>
      </c>
      <c r="DS9" s="174" t="e">
        <f>IF(OR(AND(DM9="Layout Code &amp; T Post Quantity Issue"), AND(DR9="Required")),"Yes","No")</f>
        <v>#N/A</v>
      </c>
      <c r="DT9" s="174" t="str">
        <f t="shared" ref="DT9:DT23" si="35">IF(OR(AND(AB9="",Z9=2)), "Error","OK")</f>
        <v>OK</v>
      </c>
      <c r="DU9" s="174" t="str">
        <f t="shared" ref="DU9:DU23" si="36">IF(OR(AND(AA9&lt;&gt;"",Z9&lt;1)), "Error","OK")</f>
        <v>OK</v>
      </c>
      <c r="DV9" s="174" t="str">
        <f t="shared" ref="DV9:DV23" si="37">IF(OR(AND(AB9&lt;&gt;"",Z9&lt;2)), "Error","OK")</f>
        <v>OK</v>
      </c>
      <c r="DW9" s="174" t="str">
        <f t="shared" ref="DW9:DW23" si="38">IF(OR(AND(AC9&lt;&gt;"",Z9&lt;3)), "Error","OK")</f>
        <v>OK</v>
      </c>
      <c r="DX9" s="66" t="b">
        <f>IF(N9=Data!$LW$2,Data!$LX$1,IF(N9=Data!$LW$3,Data!$LY$1,IF(N9=Data!$LW$4,Data!$LZ$1,IF(N9=Data!$LW$5,Data!$MA$1,IF(N9=Data!$LW$6,Data!$MB$1,IF(N9=Data!$LW$7,Data!$MC$1, IF(N9=Data!$LW$8,Data!$MX$1)))))))</f>
        <v>0</v>
      </c>
      <c r="DY9" s="66" t="b">
        <f>IF(N9=Data!$LW$2,Data!$LX$147,IF(N9=Data!$LW$7,Data!$MC$1))</f>
        <v>0</v>
      </c>
      <c r="DZ9" s="66" t="b">
        <f>IF(G9=Data!$BC$3,'Shutters Page 2'!DX9,IF(G9=Data!$BC$5,'Shutters Page 2'!DY9))</f>
        <v>0</v>
      </c>
      <c r="EA9" s="66" t="b">
        <f>IF(E9=Data!$MD$2,Data!$ME$2, IF(E9=Data!$MD$3,Data!$MF$2, IF(E9=Data!$MD$4,Data!$MG$2)))</f>
        <v>0</v>
      </c>
      <c r="EB9" s="162" t="str">
        <f>IF(E9="MS",Data!$AK$1,IF(G9=Data!$BC$5,Data!$EJ$40,IF(G9=Data!$BC$4,Data!$EJ$20,Data!$EJ$2)))</f>
        <v>Special_Window_Timber</v>
      </c>
      <c r="EC9" s="66" t="str">
        <f>IF(OR(AND(T9="",Q9&lt;&gt;"")),VLOOKUP(Q9,Data!$FC$2:$FD$18,2,FALSE),"")</f>
        <v/>
      </c>
      <c r="ED9" s="66" t="str">
        <f>IF(OR(AND(U9="",Q9&lt;&gt;"")),VLOOKUP(Q9,Data!$FC$2:$FD$18,2,FALSE),"")</f>
        <v/>
      </c>
      <c r="EE9" s="66" t="str">
        <f>IF(OR(AND(V9="",Q9&lt;&gt;"")),VLOOKUP(Q9,Data!$FC$2:$FD$18,2,FALSE),"")</f>
        <v/>
      </c>
      <c r="EF9" s="162" t="e">
        <f>VLOOKUP(N9,Data!$MK$2:$ML$8,2,FALSE)</f>
        <v>#N/A</v>
      </c>
      <c r="EG9" s="66" t="e">
        <f>VLOOKUP(P9,Data!$DO$4:$DO$158,1,FALSE)</f>
        <v>#N/A</v>
      </c>
      <c r="EH9" s="66" t="e">
        <f t="shared" ref="EH9:EH23" si="39">EXACT(P9,EG9)</f>
        <v>#N/A</v>
      </c>
      <c r="EI9" s="55" t="str">
        <f t="shared" ref="EI9:EI23" si="40">IF(P9="","",IFERROR(EH9,"ERROR"))</f>
        <v/>
      </c>
      <c r="EJ9" s="162" t="str">
        <f t="shared" ref="EJ9:EJ23" si="41">IF(D9="","OK", D9)</f>
        <v>OK</v>
      </c>
      <c r="EK9" s="405" t="str">
        <f>Data!$JI$19</f>
        <v>TopBottomFrameAir</v>
      </c>
      <c r="EL9" s="405" t="b">
        <f>IF(G9=Data!$JH$18,EK9,EM9)</f>
        <v>0</v>
      </c>
      <c r="EM9" s="174" t="b">
        <f>IF(Q9=Data!$NN$3,Data!$NO$2, IF(Q9=Data!$NN$4,Data!$NP$2, IF(Q9=Data!$NN$5,Data!$NQ$2, IF(Q9=Data!$NN$6,Data!$NR$2, IF(Q9=Data!$NN$7,Data!$NS$2, IF(Q9=Data!$NN$8,Data!$NT$2, IF(Q9=Data!$NN$9,Data!$NU$2, IF(Q9=Data!$NN$10,Data!$NV$2, IF(Q9=Data!$NN$11,Data!$NW$2, IF(Q9=Data!$NN$12,Data!$NX$2, IF(Q9=Data!$NN$13,Data!$NY$2, IF(Q9=Data!$NN$14,Data!$NZ$2, IF(Q9=Data!$NN$15,Data!$OA$2, IF(Q9=Data!$NN$16,Data!$OB$2, IF(Q9=Data!$NN$17,Data!$OC$2, IF(Q9=Data!$NN$18,Data!$OD$2, IF(Q9=Data!$NN$19,Data!$OE$2, IF(Q9=Data!$NN$20,Data!$OG$2, IF(Q9=Data!$NN$25,Data!$NT$2, IF(Q9=Data!$NN$26,Data!$NT$2, IF(Q9=Data!$NN$27,Data!$NT$2, IF(Q9=Data!$NN$28,Data!$OH$2))))))))))))))))))))))</f>
        <v>0</v>
      </c>
      <c r="EN9" s="174" t="b">
        <f>IF(O9=$EN$7,Data!$OD$15,'Shutters Page 2'!EO9)</f>
        <v>0</v>
      </c>
      <c r="EO9" s="174" t="b">
        <f>IF(Q9=Data!$NN$3,Data!$NO$15,IF(Q9=Data!$NN$4,Data!$NP$15,IF(Q9=Data!$NN$5,Data!$NQ$15,IF(Q9=Data!$NN$6,Data!$NR$15,IF(Q9=Data!$NN$7,Data!$NS$15,IF(Q9=Data!$NN$8,Data!$NT$15,IF(Q9=Data!$NN$9,Data!$NU$15,IF(Q9=Data!$NN$10,Data!$NV$15,IF(Q9=Data!$NN$11,Data!$NW$15,IF(Q9=Data!$NN$12,Data!$NX$15,IF(Q9=Data!$NN$13,Data!$NY$15,IF(Q9=Data!$NN$14,Data!$NZ$15,IF(N9=Data!$NN$22,Data!$OA$15,IF(N9=Data!$NN$23,Data!$OB$15,IF(Q9=Data!$NN$19,Data!$OC$15, IF(Q9=Data!$NN$20,Data!$OG$15,IF(Q9=Data!$NN$25,Data!$NT$15,IF(Q9=Data!$NN$26,Data!$NT$15,IF(Q9=Data!$NN$27,Data!$NT$15,IF(Q9=Data!$NN$28,Data!$OH$15))))))))))))))))))))</f>
        <v>0</v>
      </c>
      <c r="EP9" s="406" t="str">
        <f>Data!$JI$19</f>
        <v>TopBottomFrameAir</v>
      </c>
      <c r="EQ9" s="406" t="b">
        <f>IF(G9=Data!$JH$18,EP9,EN9)</f>
        <v>0</v>
      </c>
      <c r="ER9" s="351" t="e">
        <f>MATCH(G9,Data!$CW$10:$CW$14,0)</f>
        <v>#N/A</v>
      </c>
      <c r="ES9" s="174" t="e">
        <f>MATCH(J9,Data!$CX$9:$DA$9,0)</f>
        <v>#N/A</v>
      </c>
      <c r="ET9" s="355" t="e">
        <f>INDEX(Data!$CX$10:$DA$14,'Shutters Page 2'!ER9,'Shutters Page 2'!ES9)</f>
        <v>#N/A</v>
      </c>
      <c r="EU9" s="355" t="e">
        <f>VLOOKUP(H9,Data!$BD$81:$BE$115,2,FALSE)</f>
        <v>#N/A</v>
      </c>
      <c r="EV9" s="355" t="e">
        <f>IF(EU9=Data!$BB$80,Data!$CW$20,'Shutters Page 2'!ET9)</f>
        <v>#N/A</v>
      </c>
      <c r="EW9" s="174" t="str">
        <f>IF(SUM(--ISNUMBER(SEARCH({"combo","Combo","COMBO"}, B26))),"Yes","No")</f>
        <v>No</v>
      </c>
      <c r="EX9" s="174" t="str">
        <f>IF(SUM(--ISNUMBER(SEARCH({"combo","Combo","COMBO"}, F26))),"Yes","No")</f>
        <v>No</v>
      </c>
      <c r="EY9" s="174" t="str">
        <f>IF(COUNTIF(EW9:EX9,$EY$7),"Yes","No")</f>
        <v>No</v>
      </c>
      <c r="EZ9" s="162">
        <f t="shared" ref="EZ9:EZ23" si="42">IF(EY9=$EY$7,F9*2,1)</f>
        <v>1</v>
      </c>
      <c r="FA9" s="162" t="e">
        <f t="shared" ref="FA9:FA23" si="43">IF(E9="MS",C9, (C9-CT9)/F9)</f>
        <v>#DIV/0!</v>
      </c>
      <c r="FB9" s="174" t="str">
        <f t="shared" ref="FB9:FB23" si="44">IF(G9="","",IF(OR(AND(G9="Fauxwood Eco",CU9&gt;650)),"Yes","No"))</f>
        <v/>
      </c>
      <c r="FC9" s="351" t="str">
        <f t="shared" ref="FC9:FC23" si="45">IF(G9="","",IF(OR(AND(G9="Fauxwood Eco Air",CU9&gt;750)),"Yes","No"))</f>
        <v/>
      </c>
      <c r="FD9" s="351" t="str">
        <f t="shared" ref="FD9:FD23" si="46">IF(G9="","",IF(OR(AND(G9="Fauxwood Eco Elite",CU9&gt;650)),"Yes","No"))</f>
        <v/>
      </c>
      <c r="FE9" s="174" t="str">
        <f t="shared" ref="FE9:FE23" si="47">IF(G9="","",IF(OR(AND(G9="Fauxwood Night",CU9&gt;650)),"Yes","No"))</f>
        <v/>
      </c>
      <c r="FF9" s="174" t="str">
        <f t="shared" ref="FF9:FF23" si="48">IF(G9="","",IF(OR(AND(G9="Timber Eco",CU9&gt;950)),"Yes","No"))</f>
        <v/>
      </c>
      <c r="FG9" s="174" t="str">
        <f t="shared" ref="FG9:FG23" si="49">IF(G9="","",IF(OR(AND(G9="Timber Eco",CU9&gt;750,EY9=$EY$7)),"Yes","No"))</f>
        <v/>
      </c>
      <c r="FH9" s="278" t="str">
        <f>IF(COUNTIF(FB9:FG9,$EY$7),"Yes","No")</f>
        <v>No</v>
      </c>
      <c r="FI9" s="351" t="e">
        <f>MATCH(G9,Data!$FH$18:$FL$18,0)</f>
        <v>#N/A</v>
      </c>
      <c r="FJ9" s="174" t="e">
        <f>MATCH(N9,Data!$FG$19:$FG$25,0)</f>
        <v>#N/A</v>
      </c>
      <c r="FK9" s="351" t="e">
        <f>INDEX(Data!$FH$19:$FL$25,'Shutters Page 2'!FJ9,'Shutters Page 2'!FI9)</f>
        <v>#N/A</v>
      </c>
      <c r="FL9" s="411" t="e">
        <f>MATCH(G9,Data!$FH$53:$FI$53,0)</f>
        <v>#N/A</v>
      </c>
      <c r="FM9" s="411" t="e">
        <f>MATCH(N9,Data!$FG$54:$FG$60,0)</f>
        <v>#N/A</v>
      </c>
      <c r="FN9" s="411" t="e">
        <f>INDEX(Data!$FH$54:$FI$60,'Shutters Page 2'!FM9,'Shutters Page 2'!FL9)</f>
        <v>#N/A</v>
      </c>
      <c r="FO9" s="411" t="e">
        <f>IF(E9=Data!$FH$35,'Shutters Page 2'!FN9,'Shutters Page 2'!FK9)</f>
        <v>#N/A</v>
      </c>
      <c r="FP9" s="351" t="e">
        <f>MATCH(G9,Data!$ME$26:$MG$26,0)</f>
        <v>#N/A</v>
      </c>
      <c r="FQ9" s="174" t="e">
        <f>MATCH(E9,Data!$MD$27:$MD$29,0)</f>
        <v>#N/A</v>
      </c>
      <c r="FR9" s="351" t="e">
        <f>INDEX(Data!$ME$27:$MG$29, 'Shutters Page 2'!FQ9, 'Shutters Page 2'!FP9)</f>
        <v>#N/A</v>
      </c>
      <c r="FS9" s="351" t="e">
        <f>MATCH(G9,Data!$AAF$1:$AAH$1,0)</f>
        <v>#N/A</v>
      </c>
      <c r="FT9" s="174" t="e">
        <f>MATCH(N9,Data!$AAE$2:$AAE$8,0)</f>
        <v>#N/A</v>
      </c>
      <c r="FU9" s="351" t="e">
        <f>INDEX(Data!$AAF$2:$AAH$8, 'Shutters Page 2'!FT9, 'Shutters Page 2'!FS9)</f>
        <v>#N/A</v>
      </c>
      <c r="FV9" s="351" t="e">
        <f>MATCH(G9,Data!$AAF$12:$AAH$12,0)</f>
        <v>#N/A</v>
      </c>
      <c r="FW9" s="174" t="e">
        <f>MATCH(N9,Data!$AAE$13:$AAE$19,0)</f>
        <v>#N/A</v>
      </c>
      <c r="FX9" s="351" t="e">
        <f>INDEX(Data!$AAF$13:$AAH$19, 'Shutters Page 2'!FW9, 'Shutters Page 2'!FV9)</f>
        <v>#N/A</v>
      </c>
      <c r="FY9" s="351" t="e">
        <f>MATCH(G9,Data!$AAK$1:$AAM$1,0)</f>
        <v>#N/A</v>
      </c>
      <c r="FZ9" s="174" t="e">
        <f>MATCH(Q9,Data!$AAJ$2,0)</f>
        <v>#N/A</v>
      </c>
      <c r="GA9" s="351" t="e">
        <f>INDEX(Data!$AAK$2:$AAM$2, 'Shutters Page 2'!FZ9, 'Shutters Page 2'!FY9)</f>
        <v>#N/A</v>
      </c>
      <c r="GB9" s="351" t="e">
        <f>MATCH(G9,Data!$AAK$12:$AAM$12,0)</f>
        <v>#N/A</v>
      </c>
      <c r="GC9" s="174" t="e">
        <f>MATCH(Q9,Data!$AAJ$13,0)</f>
        <v>#N/A</v>
      </c>
      <c r="GD9" s="351" t="e">
        <f>INDEX(Data!$AAK$13:$AAM$13, 'Shutters Page 2'!GC9, 'Shutters Page 2'!GB9)</f>
        <v>#N/A</v>
      </c>
      <c r="GE9" s="162" t="e">
        <f>VLOOKUP(H9,Data!$AAR$1:$AAS$35,2,FALSE)</f>
        <v>#N/A</v>
      </c>
      <c r="GF9" s="162" t="e">
        <f t="shared" ref="GF9:GF23" si="50">IF(OR(AND(GE9=$GE$5,Q9=$GF$5)),GA9,IF(OR(AND(GE9=$GE$6,Q9=$GF$5)),GD9,IF(OR(AND(GE9=$GE$5,Q9&lt;&gt;$GF$5)),FU9,IF(OR(AND(GE9=$GE$6,Q9&lt;&gt;$GF$5)),FX9))))</f>
        <v>#N/A</v>
      </c>
      <c r="GG9" s="162" t="e">
        <f t="shared" ref="GG9:GG23" si="51">IF(G9=$GG$5,GF9,FU9)</f>
        <v>#N/A</v>
      </c>
      <c r="GH9" s="162" t="e">
        <f t="shared" ref="GH9:GH23" si="52">IF(G9=$GG$5,GG9,GA9)</f>
        <v>#N/A</v>
      </c>
      <c r="GI9" s="162" t="str">
        <f>IF(G9=Data!$NC$1,Data!$ND$1,Data!$NE$1)</f>
        <v>FauxwoodStile</v>
      </c>
      <c r="GJ9" s="55">
        <f>IF(COUNT(C9:C23)&gt;0,1,0)</f>
        <v>0</v>
      </c>
      <c r="GK9" s="55" t="s">
        <v>1922</v>
      </c>
      <c r="GL9" s="55" t="e">
        <f>VLOOKUP('Shutters Page 2'!H9,Data!$BD$81:$BE$115,2,FALSE)</f>
        <v>#N/A</v>
      </c>
      <c r="GM9" s="55" t="e">
        <f>IF(GL9=Data!$BB$80,"Yes", "No")</f>
        <v>#N/A</v>
      </c>
      <c r="GN9" s="55" t="e">
        <f>IF(GM9="Yes",Data!$EJ$57,'Shutters Page 2'!EB9)</f>
        <v>#N/A</v>
      </c>
      <c r="GQ9" s="55" t="b">
        <f>IF(G9=$GQ$6,Data!$EN$47,IF(G9='Shutters Page 2'!$GQ$7,Data!$EM$47))</f>
        <v>0</v>
      </c>
    </row>
    <row r="10" spans="1:199" ht="36.75" customHeight="1">
      <c r="A10" s="52">
        <v>2</v>
      </c>
      <c r="B10" s="13"/>
      <c r="C10" s="14"/>
      <c r="D10" s="14"/>
      <c r="E10" s="10"/>
      <c r="F10" s="10"/>
      <c r="G10" s="13"/>
      <c r="H10" s="555"/>
      <c r="I10" s="603"/>
      <c r="J10" s="14"/>
      <c r="K10" s="149" t="str">
        <f t="shared" si="0"/>
        <v/>
      </c>
      <c r="L10" s="15"/>
      <c r="M10" s="15"/>
      <c r="N10" s="15"/>
      <c r="O10" s="15"/>
      <c r="P10" s="15"/>
      <c r="Q10" s="486"/>
      <c r="R10" s="486"/>
      <c r="S10" s="13"/>
      <c r="T10" s="13"/>
      <c r="U10" s="13"/>
      <c r="V10" s="13"/>
      <c r="W10" s="15"/>
      <c r="X10" s="15"/>
      <c r="Y10" s="16"/>
      <c r="Z10" s="16"/>
      <c r="AA10" s="14"/>
      <c r="AB10" s="14"/>
      <c r="AC10" s="14"/>
      <c r="AD10" s="386"/>
      <c r="AE10" s="169" t="str">
        <f t="shared" si="1"/>
        <v/>
      </c>
      <c r="AF10" s="236"/>
      <c r="AG10" s="237"/>
      <c r="AI10" s="55">
        <f t="shared" si="2"/>
        <v>0</v>
      </c>
      <c r="AJ10" s="55">
        <f t="shared" si="3"/>
        <v>0</v>
      </c>
      <c r="AK10" s="55">
        <f>IF(P10&lt;&gt;"",VLOOKUP(P10,Data!$AAY$2:$AAZ$44,2,FALSE),0)</f>
        <v>0</v>
      </c>
      <c r="AL10" s="55" t="str">
        <f>IF(E10=Data!$BB$10,Data!$BC$10,Data!$BC$2)</f>
        <v>ShutterMaterial</v>
      </c>
      <c r="AP10" s="55" t="str">
        <f t="shared" ref="AP10:AP24" si="53">IF(N10=$AP$2,$AP$3,$AQ$3)</f>
        <v>SlidingSystemNA</v>
      </c>
      <c r="AV10" s="114" t="str">
        <f t="shared" si="4"/>
        <v/>
      </c>
      <c r="AW10" s="66" t="e">
        <f t="shared" si="5"/>
        <v>#N/A</v>
      </c>
      <c r="AX10" s="174" t="e">
        <f>VLOOKUP(Q10,Data!$MI$2:$MJ$4,2,FALSE)</f>
        <v>#N/A</v>
      </c>
      <c r="AY10" s="174" t="e">
        <f t="shared" si="6"/>
        <v>#N/A</v>
      </c>
      <c r="AZ10" s="174" t="e">
        <f>VLOOKUP(N10,Data!$BI$24:$BJ$30,2,FALSE)</f>
        <v>#N/A</v>
      </c>
      <c r="BA10" s="160" t="b">
        <f>IF(G10=Data!$BO$2,Data!$BS$2, IF('Shutters Page 2'!G10=Data!$BP$2,Data!$BT$2, IF('Shutters Page 2'!G10=Data!$BQ$2,Data!$BU$2)))</f>
        <v>0</v>
      </c>
      <c r="BB10" s="361" t="str">
        <f t="shared" si="7"/>
        <v>No</v>
      </c>
      <c r="BC10" s="160" t="e">
        <f t="shared" si="8"/>
        <v>#DIV/0!</v>
      </c>
      <c r="BD10" s="361" t="e">
        <f t="shared" si="9"/>
        <v>#DIV/0!</v>
      </c>
      <c r="BE10" s="160" t="e">
        <f t="shared" si="10"/>
        <v>#DIV/0!</v>
      </c>
      <c r="BF10" s="361" t="str">
        <f t="shared" si="11"/>
        <v>No</v>
      </c>
      <c r="BG10" s="160" t="str">
        <f t="shared" si="12"/>
        <v>NotRequired</v>
      </c>
      <c r="BH10" s="160" t="b">
        <f>IF(G10=Data!$BO$2,Data!$CM$2, IF('Shutters Page 2'!G10=Data!$BP$2,Data!$CN$2, IF('Shutters Page 2'!G10=Data!$BQ$2,Data!$CO$2)))</f>
        <v>0</v>
      </c>
      <c r="BI10" s="160" t="e">
        <f t="shared" ref="BI10:BI23" si="54">IF(OR(AND(BA10="FauxwoodY",BD10="Yes")), "Highlight","NoHighlight")</f>
        <v>#DIV/0!</v>
      </c>
      <c r="BJ10" s="161" t="str">
        <f t="shared" si="13"/>
        <v>NoHighlight</v>
      </c>
      <c r="BK10" s="361" t="str">
        <f t="shared" si="14"/>
        <v>FauxwoodRPNo</v>
      </c>
      <c r="BL10" s="161" t="str">
        <f>IF(SUM(--ISNUMBER( SEARCH({"t","T"},P10))),"Yes","No")</f>
        <v>No</v>
      </c>
      <c r="BM10" s="161" t="str">
        <f t="shared" si="15"/>
        <v>OK</v>
      </c>
      <c r="BN10" s="161" t="str">
        <f t="shared" si="16"/>
        <v>OK</v>
      </c>
      <c r="BO10" s="161" t="str">
        <f t="shared" si="17"/>
        <v>OK</v>
      </c>
      <c r="BP10" s="161" t="e">
        <f>IF(OR(AND(F10&gt;1,#REF!="L",#REF!="l"),AND(F10&gt;1,#REF!="R",#REF!="r"),AND(F10&gt;2,#REF!="LR",#REF!="lr")), "Error","OK")</f>
        <v>#REF!</v>
      </c>
      <c r="BQ10" s="161" t="str">
        <f t="shared" si="18"/>
        <v>FauxwoodAINo</v>
      </c>
      <c r="BR10" s="161" t="str">
        <f>IF(SUM(--ISNUMBER(SEARCH({"combo","Combo","COMBO"}, B27))),"Yes","No")</f>
        <v>No</v>
      </c>
      <c r="BS10" s="161" t="str">
        <f t="shared" ref="BS10:BS23" si="55">IF(OR(AND(BL10="Yes",BR10="Yes")),"Yes","No")</f>
        <v>No</v>
      </c>
      <c r="BT10" s="161" t="str">
        <f>IF(SUM(--ISNUMBER( SEARCH({"c","C","b","B"},#REF!))),"Yes","No")</f>
        <v>No</v>
      </c>
      <c r="BU10" s="162">
        <f t="shared" si="19"/>
        <v>0</v>
      </c>
      <c r="BV10" s="174" t="str">
        <f>IF(N10=Data!$BI$3,Data!$DR$3,IF(N10=Data!$BI$4,Data!$DS$3,IF(N10=Data!$BI$5,Data!$DT$3,IF(N10=Data!$BI$6,Data!$DU$3,IF(N10=Data!$BI$7,Data!$DV$3, IF(N10=Data!$BI$8,Data!$DX$3, IF(N10=Data!$BI$9,Data!$DW$3, "")))))))</f>
        <v/>
      </c>
      <c r="BW10" s="174" t="str">
        <f>IF(N10=Data!$BI$3,Data!$DY$3,IF(N10=Data!$BI$4,Data!$DZ$3,IF(N10=Data!$BI$5,Data!$EA$3,IF(N10=Data!$BI$6,Data!$EB$3,IF(N10=Data!$BI$7,Data!$EC$3,IF(N10=Data!$BI$8,Data!$EE$3, IF(N10=Data!$BI$9,Data!$ED$3,"")))))))</f>
        <v/>
      </c>
      <c r="BX10" s="162">
        <f t="shared" si="20"/>
        <v>0</v>
      </c>
      <c r="BY10" s="162">
        <f t="shared" si="21"/>
        <v>0</v>
      </c>
      <c r="BZ10" s="174" t="e">
        <f t="shared" si="22"/>
        <v>#DIV/0!</v>
      </c>
      <c r="CA10" s="351" t="b">
        <f>IF(G10=Data!$EU$2,Data!$ES$2,IF(G10=Data!$EU$3,Data!$ER$2, IF(G10=Data!$EU$5,Data!$ET$2, IF(G10=Data!$EU$4,Data!$EQ$2,IF(G10=Data!$EU$6,Data!$ER$2)))))</f>
        <v>0</v>
      </c>
      <c r="CB10" s="351" t="b">
        <f>IF(G10=Data!$EU$2,Data!$EW$2,IF(G10=Data!$EU$3,Data!$EX$2,IF(G10=Data!$EU$4,Data!$EY$2, IF(G10=Data!$EU$5,Data!$EY$2,IF(G10=Data!$EU$6,Data!$EX$2)))))</f>
        <v>0</v>
      </c>
      <c r="CC10" s="174" t="e">
        <f>VLOOKUP(M10,Data!$EJ$3:$EK$15,2,FALSE)</f>
        <v>#N/A</v>
      </c>
      <c r="CD10" s="174" t="str">
        <f>IF(J10="114mm",VLOOKUP(H10,Data!$FA$2:$FB$18,2,FALSE),"OK")</f>
        <v>OK</v>
      </c>
      <c r="CE10" s="174" t="e">
        <f t="shared" si="23"/>
        <v>#DIV/0!</v>
      </c>
      <c r="CF10" s="174" t="str">
        <f>IF(OR(AND(S10="",Q10&lt;&gt;"")),VLOOKUP(Q10,Data!$FC$2:$FD$19,2,FALSE),"")</f>
        <v/>
      </c>
      <c r="CG10" s="174" t="str">
        <f>IF(N10=Data!$BI$3,Data!$FJ$1,IF(N10=Data!$BI$4,Data!$FK$1,IF(N10=Data!$BI$5,Data!$FL$1,IF(N10=Data!$BI$6,Data!$FM$1,IF(N10=Data!$BI$7,Data!$FN$1, IF(N10=Data!$BI$8,Data!$FO$1, IF(N10=Data!$BI$9,Data!$FI$1, "")))))))</f>
        <v/>
      </c>
      <c r="CH10" s="174" t="str">
        <f>IF(SUM(--ISNUMBER(SEARCH({"z","Z"}, Q10))),"Yes","No")</f>
        <v>No</v>
      </c>
      <c r="CI10" s="174" t="str">
        <f t="shared" si="24"/>
        <v>OK</v>
      </c>
      <c r="CJ10" s="174">
        <f t="shared" si="25"/>
        <v>0</v>
      </c>
      <c r="CK10" s="174" t="e">
        <f>VLOOKUP(P10,Data!$DO$4:$DP$157,2,FALSE)</f>
        <v>#N/A</v>
      </c>
      <c r="CL10" s="174" t="e">
        <f t="shared" si="26"/>
        <v>#N/A</v>
      </c>
      <c r="CM10" s="162"/>
      <c r="CN10" s="162" t="s">
        <v>660</v>
      </c>
      <c r="CO10" s="162" t="str">
        <f>IF(COUNTIF(M9:M23,Data!EJ5),Data!EL5,"")</f>
        <v/>
      </c>
      <c r="CP10" s="366" t="str">
        <f t="shared" si="27"/>
        <v>OK</v>
      </c>
      <c r="CQ10" s="174" t="b">
        <f t="shared" si="28"/>
        <v>0</v>
      </c>
      <c r="CR10" s="174">
        <f t="shared" si="29"/>
        <v>0</v>
      </c>
      <c r="CS10" s="174">
        <f t="shared" si="30"/>
        <v>1</v>
      </c>
      <c r="CT10" s="174">
        <f t="shared" ref="CT10:CT19" si="56">CQ10*CR10*CS10</f>
        <v>0</v>
      </c>
      <c r="CU10" s="162" t="e">
        <f t="shared" si="31"/>
        <v>#DIV/0!</v>
      </c>
      <c r="CV10" s="162" t="e">
        <f>VLOOKUP(H10,Data!$BD$81:$BE$111,2,FALSE)</f>
        <v>#N/A</v>
      </c>
      <c r="CW10" s="174" t="str">
        <f t="shared" si="32"/>
        <v/>
      </c>
      <c r="CX10" s="292" t="str">
        <f>IF(H10=Data!$BE$3,Data!$HQ$2, IF(H10=Data!$BE$4,Data!$HP$2, IF(H10=Data!$BE$5,Data!$HR$2, IF(H10=Data!$BE$6,Data!$HO$2))))</f>
        <v>Super WhiteNA</v>
      </c>
      <c r="CY10" s="351" t="b">
        <f>IF(H10=Data!$BH$3,Data!$HU$2, IF(H10=Data!$BH$4,Data!$HT$2, IF(H10=Data!$BH$5,Data!$HS$2)))</f>
        <v>0</v>
      </c>
      <c r="CZ10" s="351" t="b">
        <f>IF(H10=Data!$BF$3,Data!$HQ$16, IF(H10=Data!$BF$4,Data!$HP$16, IF(H10=Data!$BF$5,Data!$HR$16, IF(H10=Data!$BF$6,Data!$HO$16))))</f>
        <v>0</v>
      </c>
      <c r="DA10" s="351" t="b">
        <f>IF(G10=Data!$BC$3,'Shutters Page 2'!CW10,IF(G10=Data!$BC$4,'Shutters Page 2'!CX10,IF(G10=Data!$BC$6,'Shutters Page 2'!CY10, IF(G10=Data!$BC$5, 'Shutters Page 2'!CX10,IF(G10=Data!$BC$7,'Shutters Page 2'!CX10)))))</f>
        <v>0</v>
      </c>
      <c r="DB10" s="162" t="e">
        <f>IF(OR(AND(L10&gt;0,#REF!="")), "Error","OK")</f>
        <v>#REF!</v>
      </c>
      <c r="DC10" s="174" t="e">
        <f>IF(COUNTIF(#REF!,Data!$CX$6),"Yes","")</f>
        <v>#REF!</v>
      </c>
      <c r="DD10" s="55" t="str">
        <f t="shared" si="33"/>
        <v/>
      </c>
      <c r="DG10" s="55" t="str">
        <f>IF(N10=Data!$BI$5,"Yes",IF(N10=Data!$BI$6,"Yes","No"))</f>
        <v>No</v>
      </c>
      <c r="DH10" s="66" t="b">
        <f>IF(N10=Data!$BI$3,Data!$JB$2,IF(N10=Data!$BI$4,Data!$JC$2,IF(N10=Data!$BI$5,Data!$JD$2,IF(N10=Data!$BI$6,DI10,IF(N10=Data!$BI$7,Data!$JF$2, IF(N10=Data!$BI$8,Data!$JA$2, IF(N10=Data!$BI$9,Data!$JG$2)))))))</f>
        <v>0</v>
      </c>
      <c r="DI10" s="55" t="e">
        <f>VLOOKUP(P10,Data!$AAY$2:$ABA$44,3,FALSE)</f>
        <v>#N/A</v>
      </c>
      <c r="DK10" s="66" t="e">
        <f>VLOOKUP(P10,Data!$DO$4:$DQ$157,3,FALSE)</f>
        <v>#N/A</v>
      </c>
      <c r="DL10" s="55" t="e">
        <f t="shared" si="34"/>
        <v>#N/A</v>
      </c>
      <c r="DM10" s="55" t="e">
        <f t="shared" ref="DM10:DM22" si="57">IF(DL10=0,"OK", "Layout Code &amp; T Post Quantity Issue")</f>
        <v>#N/A</v>
      </c>
      <c r="DN10" s="162" t="b">
        <f>IF(Q10=Data!$BK$3,Data!$JH$2,IF(Q10=Data!$BK$4,Data!$JI$2,IF(Q10=Data!$BK$5,Data!$JJ$2,IF(Q10=Data!$BK$6,Data!$JK$2,IF(Q10=Data!$BK$7,Data!$JL$2,IF(Q10=Data!$BK$8,Data!$JM$2,IF(Q10=Data!$BK$9,Data!$JN$2,IF(Q10=Data!$BK$10,Data!$JO$2,IF(Q10=Data!$BK$11,Data!$JP$2,IF(Q10=Data!$BK$12,Data!$JQ$2,IF(Q10=Data!$BK$13,Data!$JR$2,IF(Q10=Data!$BK$14,Data!$JS$2,IF(Q10=Data!$BK$15,Data!$JT$2,IF(Q10=Data!$BK$16,Data!$JU$2,IF(Q10=Data!$BK$17,Data!$JV$2,IF(Q10=Data!$BK$18,Data!$JW$2, IF(Q10=Data!$BK$19,Data!$JX$2, IF(Q10=Data!$BK$20,Data!$JY$2, IF(Q10=Data!$BK$21,Data!$JN$2, IF(Q10=Data!$BK$22,Data!$JN$2, IF(Q10=Data!$BK$23,Data!$JN$2, IF(Q10=Data!$BK$24,Data!$JL$19))))))))))))))))))))))</f>
        <v>0</v>
      </c>
      <c r="DO10" s="55" t="str">
        <f>Data!$JH$19</f>
        <v>LRFrameAir</v>
      </c>
      <c r="DP10" s="55" t="b">
        <f>IF(G10=Data!$JH$18,'Shutters Page 2'!DO10,'Shutters Page 2'!DN10)</f>
        <v>0</v>
      </c>
      <c r="DR10" s="174" t="str">
        <f t="shared" ref="DR10:DR23" si="58">IF(COUNTIF(BM10:BO10,$DR$7),"Required","")</f>
        <v/>
      </c>
      <c r="DS10" s="174" t="e">
        <f t="shared" ref="DS10:DS23" si="59">IF(OR(AND(DM10="Layout Code &amp; T Post Quantity Issue"), AND(DR10="Required")),"Yes","No")</f>
        <v>#N/A</v>
      </c>
      <c r="DT10" s="174" t="str">
        <f t="shared" si="35"/>
        <v>OK</v>
      </c>
      <c r="DU10" s="174" t="str">
        <f t="shared" si="36"/>
        <v>OK</v>
      </c>
      <c r="DV10" s="174" t="str">
        <f t="shared" si="37"/>
        <v>OK</v>
      </c>
      <c r="DW10" s="174" t="str">
        <f t="shared" si="38"/>
        <v>OK</v>
      </c>
      <c r="DX10" s="66" t="b">
        <f>IF(N10=Data!$LW$2,Data!$LX$1,IF(N10=Data!$LW$3,Data!$LY$1,IF(N10=Data!$LW$4,Data!$LZ$1,IF(N10=Data!$LW$5,Data!$MA$1,IF(N10=Data!$LW$6,Data!$MB$1,IF(N10=Data!$LW$7,Data!$MC$1, IF(N10=Data!$LW$8,Data!$MX$1)))))))</f>
        <v>0</v>
      </c>
      <c r="DY10" s="66" t="b">
        <f>IF(N10=Data!$LW$2,Data!$LX$147,IF(N10=Data!$LW$7,Data!$MC$1))</f>
        <v>0</v>
      </c>
      <c r="DZ10" s="66" t="b">
        <f>IF(G10=Data!$BC$3,'Shutters Page 2'!DX10,IF(G10=Data!$BC$5,'Shutters Page 2'!DY10))</f>
        <v>0</v>
      </c>
      <c r="EA10" s="66" t="b">
        <f>IF(E10=Data!$MD$2,Data!$ME$2, IF(E10=Data!$MD$3,Data!$MF$2, IF(E10=Data!$MD$4,Data!$MG$2)))</f>
        <v>0</v>
      </c>
      <c r="EB10" s="162" t="str">
        <f>IF(E10="MS",Data!$AK$1,IF(G10=Data!$BC$5,Data!$EJ$40,IF(G10=Data!$BC$4,Data!$EJ$20,Data!$EJ$2)))</f>
        <v>Special_Window_Timber</v>
      </c>
      <c r="EC10" s="66" t="str">
        <f>IF(OR(AND(T10="",Q10&lt;&gt;"")),VLOOKUP(Q10,Data!$FC$2:$FD$18,2,FALSE),"")</f>
        <v/>
      </c>
      <c r="ED10" s="66" t="str">
        <f>IF(OR(AND(U10="",Q10&lt;&gt;"")),VLOOKUP(Q10,Data!$FC$2:$FD$18,2,FALSE),"")</f>
        <v/>
      </c>
      <c r="EE10" s="66" t="str">
        <f>IF(OR(AND(V10="",Q10&lt;&gt;"")),VLOOKUP(Q10,Data!$FC$2:$FD$18,2,FALSE),"")</f>
        <v/>
      </c>
      <c r="EF10" s="162" t="e">
        <f>VLOOKUP(N10,Data!$MK$2:$ML$8,2,FALSE)</f>
        <v>#N/A</v>
      </c>
      <c r="EG10" s="66" t="e">
        <f>VLOOKUP(P10,Data!$DO$4:$DO$158,1,FALSE)</f>
        <v>#N/A</v>
      </c>
      <c r="EH10" s="66" t="e">
        <f t="shared" si="39"/>
        <v>#N/A</v>
      </c>
      <c r="EI10" s="55" t="str">
        <f t="shared" si="40"/>
        <v/>
      </c>
      <c r="EJ10" s="162" t="str">
        <f t="shared" si="41"/>
        <v>OK</v>
      </c>
      <c r="EK10" s="405" t="str">
        <f>Data!$JI$19</f>
        <v>TopBottomFrameAir</v>
      </c>
      <c r="EL10" s="405" t="b">
        <f>IF(G10=Data!$JH$18,EK10,EM10)</f>
        <v>0</v>
      </c>
      <c r="EM10" s="174" t="b">
        <f>IF(Q10=Data!$NN$3,Data!$NO$2, IF(Q10=Data!$NN$4,Data!$NP$2, IF(Q10=Data!$NN$5,Data!$NQ$2, IF(Q10=Data!$NN$6,Data!$NR$2, IF(Q10=Data!$NN$7,Data!$NS$2, IF(Q10=Data!$NN$8,Data!$NT$2, IF(Q10=Data!$NN$9,Data!$NU$2, IF(Q10=Data!$NN$10,Data!$NV$2, IF(Q10=Data!$NN$11,Data!$NW$2, IF(Q10=Data!$NN$12,Data!$NX$2, IF(Q10=Data!$NN$13,Data!$NY$2, IF(Q10=Data!$NN$14,Data!$NZ$2, IF(Q10=Data!$NN$15,Data!$OA$2, IF(Q10=Data!$NN$16,Data!$OB$2, IF(Q10=Data!$NN$17,Data!$OC$2, IF(Q10=Data!$NN$18,Data!$OD$2, IF(Q10=Data!$NN$19,Data!$OE$2, IF(Q10=Data!$NN$20,Data!$OG$2, IF(Q10=Data!$NN$25,Data!$NT$2, IF(Q10=Data!$NN$26,Data!$NT$2, IF(Q10=Data!$NN$27,Data!$NT$2, IF(Q10=Data!$NN$28,Data!$OH$2))))))))))))))))))))))</f>
        <v>0</v>
      </c>
      <c r="EN10" s="174" t="b">
        <f>IF(O10=$EN$7,Data!$OD$15,'Shutters Page 2'!EO10)</f>
        <v>0</v>
      </c>
      <c r="EO10" s="174" t="b">
        <f>IF(Q10=Data!$NN$3,Data!$NO$15,IF(Q10=Data!$NN$4,Data!$NP$15,IF(Q10=Data!$NN$5,Data!$NQ$15,IF(Q10=Data!$NN$6,Data!$NR$15,IF(Q10=Data!$NN$7,Data!$NS$15,IF(Q10=Data!$NN$8,Data!$NT$15,IF(Q10=Data!$NN$9,Data!$NU$15,IF(Q10=Data!$NN$10,Data!$NV$15,IF(Q10=Data!$NN$11,Data!$NW$15,IF(Q10=Data!$NN$12,Data!$NX$15,IF(Q10=Data!$NN$13,Data!$NY$15,IF(Q10=Data!$NN$14,Data!$NZ$15,IF(N10=Data!$NN$22,Data!$OA$15,IF(N10=Data!$NN$23,Data!$OB$15,IF(Q10=Data!$NN$19,Data!$OC$15, IF(Q10=Data!$NN$20,Data!$OG$15,IF(Q10=Data!$NN$25,Data!$NT$15,IF(Q10=Data!$NN$26,Data!$NT$15,IF(Q10=Data!$NN$27,Data!$NT$15,IF(Q10=Data!$NN$28,Data!$OH$15))))))))))))))))))))</f>
        <v>0</v>
      </c>
      <c r="EP10" s="406" t="str">
        <f>Data!$JI$19</f>
        <v>TopBottomFrameAir</v>
      </c>
      <c r="EQ10" s="406" t="b">
        <f>IF(G10=Data!$JH$18,EP10,EN10)</f>
        <v>0</v>
      </c>
      <c r="ER10" s="351" t="e">
        <f>MATCH(G10,Data!$CW$10:$CW$14,0)</f>
        <v>#N/A</v>
      </c>
      <c r="ES10" s="174" t="e">
        <f>MATCH(J10,Data!$CX$9:$DA$9,0)</f>
        <v>#N/A</v>
      </c>
      <c r="ET10" s="355" t="e">
        <f>INDEX(Data!$CX$10:$DA$14,'Shutters Page 2'!ER10,'Shutters Page 2'!ES10)</f>
        <v>#N/A</v>
      </c>
      <c r="EU10" s="355" t="e">
        <f>VLOOKUP(H10,Data!$BD$81:$BE$115,2,FALSE)</f>
        <v>#N/A</v>
      </c>
      <c r="EV10" s="355" t="e">
        <f>IF(EU10=Data!$BB$80,Data!$CW$20,'Shutters Page 2'!ET10)</f>
        <v>#N/A</v>
      </c>
      <c r="EW10" s="174" t="str">
        <f>IF(SUM(--ISNUMBER(SEARCH({"combo","Combo","COMBO"}, B27))),"Yes","No")</f>
        <v>No</v>
      </c>
      <c r="EX10" s="174" t="str">
        <f>IF(SUM(--ISNUMBER(SEARCH({"combo","Combo","COMBO"}, F27))),"Yes","No")</f>
        <v>No</v>
      </c>
      <c r="EY10" s="174" t="str">
        <f t="shared" ref="EY10:EY23" si="60">IF(COUNTIF(EW10:EX10,$EY$7),"Yes","No")</f>
        <v>No</v>
      </c>
      <c r="EZ10" s="162">
        <f t="shared" si="42"/>
        <v>1</v>
      </c>
      <c r="FA10" s="162" t="e">
        <f t="shared" si="43"/>
        <v>#DIV/0!</v>
      </c>
      <c r="FB10" s="174" t="str">
        <f t="shared" si="44"/>
        <v/>
      </c>
      <c r="FC10" s="351" t="str">
        <f t="shared" si="45"/>
        <v/>
      </c>
      <c r="FD10" s="351" t="str">
        <f t="shared" si="46"/>
        <v/>
      </c>
      <c r="FE10" s="174" t="str">
        <f t="shared" si="47"/>
        <v/>
      </c>
      <c r="FF10" s="174" t="str">
        <f t="shared" si="48"/>
        <v/>
      </c>
      <c r="FG10" s="174" t="str">
        <f t="shared" si="49"/>
        <v/>
      </c>
      <c r="FH10" s="278" t="str">
        <f t="shared" ref="FH10:FH23" si="61">IF(COUNTIF(FB10:FG10,$EY$7),"Yes","No")</f>
        <v>No</v>
      </c>
      <c r="FI10" s="351" t="e">
        <f>MATCH(G10,Data!$FH$18:$FL$18,0)</f>
        <v>#N/A</v>
      </c>
      <c r="FJ10" s="174" t="e">
        <f>MATCH(N10,Data!$FG$19:$FG$25,0)</f>
        <v>#N/A</v>
      </c>
      <c r="FK10" s="351" t="e">
        <f>INDEX(Data!$FH$19:$FL$25,'Shutters Page 2'!FJ10,'Shutters Page 2'!FI10)</f>
        <v>#N/A</v>
      </c>
      <c r="FL10" s="411" t="e">
        <f>MATCH(G10,Data!$FH$53:$FI$53,0)</f>
        <v>#N/A</v>
      </c>
      <c r="FM10" s="411" t="e">
        <f>MATCH(N10,Data!$FG$54:$FG$60,0)</f>
        <v>#N/A</v>
      </c>
      <c r="FN10" s="411" t="e">
        <f>INDEX(Data!$FH$54:$FI$60,'Shutters Page 2'!FM10,'Shutters Page 2'!FL10)</f>
        <v>#N/A</v>
      </c>
      <c r="FO10" s="411" t="e">
        <f>IF(E10=Data!$FH$35,'Shutters Page 2'!FN10,'Shutters Page 2'!FK10)</f>
        <v>#N/A</v>
      </c>
      <c r="FP10" s="351" t="e">
        <f>MATCH(G10,Data!$ME$26:$MG$26,0)</f>
        <v>#N/A</v>
      </c>
      <c r="FQ10" s="174" t="e">
        <f>MATCH(E10,Data!$MD$27:$MD$29,0)</f>
        <v>#N/A</v>
      </c>
      <c r="FR10" s="351" t="e">
        <f>INDEX(Data!$ME$27:$MG$29, 'Shutters Page 2'!FQ10, 'Shutters Page 2'!FP10)</f>
        <v>#N/A</v>
      </c>
      <c r="FS10" s="351" t="e">
        <f>MATCH(G10,Data!$AAF$1:$AAH$1,0)</f>
        <v>#N/A</v>
      </c>
      <c r="FT10" s="174" t="e">
        <f>MATCH(N10,Data!$AAE$2:$AAE$8,0)</f>
        <v>#N/A</v>
      </c>
      <c r="FU10" s="351" t="e">
        <f>INDEX(Data!$AAF$2:$AAH$8, 'Shutters Page 2'!FT10, 'Shutters Page 2'!FS10)</f>
        <v>#N/A</v>
      </c>
      <c r="FV10" s="351" t="e">
        <f>MATCH(G10,Data!$AAF$12:$AAH$12,0)</f>
        <v>#N/A</v>
      </c>
      <c r="FW10" s="174" t="e">
        <f>MATCH(N10,Data!$AAE$13:$AAE$19,0)</f>
        <v>#N/A</v>
      </c>
      <c r="FX10" s="351" t="e">
        <f>INDEX(Data!$AAF$13:$AAH$19, 'Shutters Page 2'!FW10, 'Shutters Page 2'!FV10)</f>
        <v>#N/A</v>
      </c>
      <c r="FY10" s="351" t="e">
        <f>MATCH(G10,Data!$AAK$1:$AAM$1,0)</f>
        <v>#N/A</v>
      </c>
      <c r="FZ10" s="174" t="e">
        <f>MATCH(Q10,Data!$AAJ$2,0)</f>
        <v>#N/A</v>
      </c>
      <c r="GA10" s="351" t="e">
        <f>INDEX(Data!$AAK$2:$AAM$2, 'Shutters Page 2'!FZ10, 'Shutters Page 2'!FY10)</f>
        <v>#N/A</v>
      </c>
      <c r="GB10" s="351" t="e">
        <f>MATCH(G10,Data!$AAK$12:$AAM$12,0)</f>
        <v>#N/A</v>
      </c>
      <c r="GC10" s="174" t="e">
        <f>MATCH(Q10,Data!$AAJ$13,0)</f>
        <v>#N/A</v>
      </c>
      <c r="GD10" s="351" t="e">
        <f>INDEX(Data!$AAK$13:$AAM$13, 'Shutters Page 2'!GC10, 'Shutters Page 2'!GB10)</f>
        <v>#N/A</v>
      </c>
      <c r="GE10" s="162" t="e">
        <f>VLOOKUP(H10,Data!$AAR$1:$AAS$35,2,FALSE)</f>
        <v>#N/A</v>
      </c>
      <c r="GF10" s="162" t="e">
        <f t="shared" si="50"/>
        <v>#N/A</v>
      </c>
      <c r="GG10" s="162" t="e">
        <f t="shared" si="51"/>
        <v>#N/A</v>
      </c>
      <c r="GH10" s="162" t="e">
        <f t="shared" si="52"/>
        <v>#N/A</v>
      </c>
      <c r="GI10" s="162" t="str">
        <f>IF(G10=Data!$NC$1,Data!$ND$1,Data!$NE$1)</f>
        <v>FauxwoodStile</v>
      </c>
      <c r="GJ10" s="55">
        <f>IF(COUNT(#REF!)&gt;0,2,0)</f>
        <v>0</v>
      </c>
      <c r="GK10" s="55" t="s">
        <v>1923</v>
      </c>
      <c r="GL10" s="55" t="e">
        <f>VLOOKUP('Shutters Page 2'!H10,Data!$BD$81:$BE$115,2,FALSE)</f>
        <v>#N/A</v>
      </c>
      <c r="GM10" s="55" t="e">
        <f>IF(GL10=Data!$BB$80,"Yes", "No")</f>
        <v>#N/A</v>
      </c>
      <c r="GN10" s="55" t="e">
        <f>IF(GM10="Yes",Data!$EJ$57,'Shutters Page 2'!EB10)</f>
        <v>#N/A</v>
      </c>
      <c r="GQ10" s="55" t="b">
        <f>IF(G10=$GQ$6,Data!$EN$47,IF(G10='Shutters Page 2'!$GQ$7,Data!$EM$47))</f>
        <v>0</v>
      </c>
    </row>
    <row r="11" spans="1:199" ht="36.75" customHeight="1">
      <c r="A11" s="53">
        <v>3</v>
      </c>
      <c r="B11" s="17"/>
      <c r="C11" s="14"/>
      <c r="D11" s="14"/>
      <c r="E11" s="10"/>
      <c r="F11" s="10"/>
      <c r="G11" s="13"/>
      <c r="H11" s="555"/>
      <c r="I11" s="603"/>
      <c r="J11" s="14"/>
      <c r="K11" s="149" t="str">
        <f t="shared" si="0"/>
        <v/>
      </c>
      <c r="L11" s="15"/>
      <c r="M11" s="15"/>
      <c r="N11" s="15"/>
      <c r="O11" s="15"/>
      <c r="P11" s="15"/>
      <c r="Q11" s="486"/>
      <c r="R11" s="486"/>
      <c r="S11" s="13"/>
      <c r="T11" s="13"/>
      <c r="U11" s="13"/>
      <c r="V11" s="13"/>
      <c r="W11" s="15"/>
      <c r="X11" s="15"/>
      <c r="Y11" s="16"/>
      <c r="Z11" s="16"/>
      <c r="AA11" s="14"/>
      <c r="AB11" s="14"/>
      <c r="AC11" s="14"/>
      <c r="AD11" s="386"/>
      <c r="AE11" s="169" t="str">
        <f t="shared" si="1"/>
        <v/>
      </c>
      <c r="AF11" s="236"/>
      <c r="AG11" s="237"/>
      <c r="AI11" s="55">
        <f t="shared" si="2"/>
        <v>0</v>
      </c>
      <c r="AJ11" s="55">
        <f t="shared" si="3"/>
        <v>0</v>
      </c>
      <c r="AK11" s="55">
        <f>IF(P11&lt;&gt;"",VLOOKUP(P11,Data!$AAY$2:$AAZ$44,2,FALSE),0)</f>
        <v>0</v>
      </c>
      <c r="AL11" s="55" t="str">
        <f>IF(E11=Data!$BB$10,Data!$BC$10,Data!$BC$2)</f>
        <v>ShutterMaterial</v>
      </c>
      <c r="AP11" s="55" t="str">
        <f t="shared" si="53"/>
        <v>SlidingSystemNA</v>
      </c>
      <c r="AV11" s="114" t="str">
        <f t="shared" si="4"/>
        <v/>
      </c>
      <c r="AW11" s="66" t="e">
        <f t="shared" si="5"/>
        <v>#N/A</v>
      </c>
      <c r="AX11" s="174" t="e">
        <f>VLOOKUP(Q11,Data!$MI$2:$MJ$4,2,FALSE)</f>
        <v>#N/A</v>
      </c>
      <c r="AY11" s="174" t="e">
        <f t="shared" si="6"/>
        <v>#N/A</v>
      </c>
      <c r="AZ11" s="174" t="e">
        <f>VLOOKUP(N11,Data!$BI$24:$BJ$30,2,FALSE)</f>
        <v>#N/A</v>
      </c>
      <c r="BA11" s="160" t="b">
        <f>IF(G11=Data!$BO$2,Data!$BS$2, IF('Shutters Page 2'!G11=Data!$BP$2,Data!$BT$2, IF('Shutters Page 2'!G11=Data!$BQ$2,Data!$BU$2)))</f>
        <v>0</v>
      </c>
      <c r="BB11" s="361" t="str">
        <f t="shared" si="7"/>
        <v>No</v>
      </c>
      <c r="BC11" s="160" t="e">
        <f t="shared" si="8"/>
        <v>#DIV/0!</v>
      </c>
      <c r="BD11" s="361" t="e">
        <f t="shared" si="9"/>
        <v>#DIV/0!</v>
      </c>
      <c r="BE11" s="160" t="e">
        <f t="shared" si="10"/>
        <v>#DIV/0!</v>
      </c>
      <c r="BF11" s="361" t="str">
        <f t="shared" si="11"/>
        <v>No</v>
      </c>
      <c r="BG11" s="160" t="str">
        <f t="shared" si="12"/>
        <v>NotRequired</v>
      </c>
      <c r="BH11" s="160" t="b">
        <f>IF(G11=Data!$BO$2,Data!$CM$2, IF('Shutters Page 2'!G11=Data!$BP$2,Data!$CN$2, IF('Shutters Page 2'!G11=Data!$BQ$2,Data!$CO$2)))</f>
        <v>0</v>
      </c>
      <c r="BI11" s="160" t="e">
        <f t="shared" si="54"/>
        <v>#DIV/0!</v>
      </c>
      <c r="BJ11" s="161" t="str">
        <f t="shared" si="13"/>
        <v>NoHighlight</v>
      </c>
      <c r="BK11" s="361" t="str">
        <f t="shared" si="14"/>
        <v>FauxwoodRPNo</v>
      </c>
      <c r="BL11" s="161" t="str">
        <f>IF(SUM(--ISNUMBER( SEARCH({"t","T"},P11))),"Yes","No")</f>
        <v>No</v>
      </c>
      <c r="BM11" s="161" t="str">
        <f t="shared" si="15"/>
        <v>OK</v>
      </c>
      <c r="BN11" s="161" t="str">
        <f t="shared" si="16"/>
        <v>OK</v>
      </c>
      <c r="BO11" s="161" t="str">
        <f t="shared" si="17"/>
        <v>OK</v>
      </c>
      <c r="BP11" s="161" t="e">
        <f>IF(OR(AND(F11&gt;1,#REF!="L",#REF!="l"),AND(F11&gt;1,#REF!="R",#REF!="r"),AND(F11&gt;2,#REF!="LR",#REF!="lr")), "Error","OK")</f>
        <v>#REF!</v>
      </c>
      <c r="BQ11" s="161" t="str">
        <f t="shared" si="18"/>
        <v>FauxwoodAINo</v>
      </c>
      <c r="BR11" s="161" t="str">
        <f>IF(SUM(--ISNUMBER(SEARCH({"combo","Combo","COMBO"}, B28))),"Yes","No")</f>
        <v>No</v>
      </c>
      <c r="BS11" s="161" t="str">
        <f t="shared" si="55"/>
        <v>No</v>
      </c>
      <c r="BT11" s="161" t="str">
        <f>IF(SUM(--ISNUMBER( SEARCH({"c","C","b","B"},#REF!))),"Yes","No")</f>
        <v>No</v>
      </c>
      <c r="BU11" s="162">
        <f t="shared" si="19"/>
        <v>0</v>
      </c>
      <c r="BV11" s="174" t="str">
        <f>IF(N11=Data!$BI$3,Data!$DR$3,IF(N11=Data!$BI$4,Data!$DS$3,IF(N11=Data!$BI$5,Data!$DT$3,IF(N11=Data!$BI$6,Data!$DU$3,IF(N11=Data!$BI$7,Data!$DV$3, IF(N11=Data!$BI$8,Data!$DX$3, IF(N11=Data!$BI$9,Data!$DW$3, "")))))))</f>
        <v/>
      </c>
      <c r="BW11" s="174" t="str">
        <f>IF(N11=Data!$BI$3,Data!$DY$3,IF(N11=Data!$BI$4,Data!$DZ$3,IF(N11=Data!$BI$5,Data!$EA$3,IF(N11=Data!$BI$6,Data!$EB$3,IF(N11=Data!$BI$7,Data!$EC$3,IF(N11=Data!$BI$8,Data!$EE$3, IF(N11=Data!$BI$9,Data!$ED$3,"")))))))</f>
        <v/>
      </c>
      <c r="BX11" s="162">
        <f t="shared" si="20"/>
        <v>0</v>
      </c>
      <c r="BY11" s="162">
        <f t="shared" si="21"/>
        <v>0</v>
      </c>
      <c r="BZ11" s="174" t="e">
        <f t="shared" si="22"/>
        <v>#DIV/0!</v>
      </c>
      <c r="CA11" s="351" t="b">
        <f>IF(G11=Data!$EU$2,Data!$ES$2,IF(G11=Data!$EU$3,Data!$ER$2, IF(G11=Data!$EU$5,Data!$ET$2, IF(G11=Data!$EU$4,Data!$EQ$2,IF(G11=Data!$EU$6,Data!$ER$2)))))</f>
        <v>0</v>
      </c>
      <c r="CB11" s="351" t="b">
        <f>IF(G11=Data!$EU$2,Data!$EW$2,IF(G11=Data!$EU$3,Data!$EX$2,IF(G11=Data!$EU$4,Data!$EY$2, IF(G11=Data!$EU$5,Data!$EY$2,IF(G11=Data!$EU$6,Data!$EX$2)))))</f>
        <v>0</v>
      </c>
      <c r="CC11" s="174" t="e">
        <f>VLOOKUP(M11,Data!$EJ$3:$EK$15,2,FALSE)</f>
        <v>#N/A</v>
      </c>
      <c r="CD11" s="174" t="str">
        <f>IF(J11="114mm",VLOOKUP(H11,Data!$FA$2:$FB$18,2,FALSE),"OK")</f>
        <v>OK</v>
      </c>
      <c r="CE11" s="174" t="e">
        <f t="shared" si="23"/>
        <v>#DIV/0!</v>
      </c>
      <c r="CF11" s="174" t="str">
        <f>IF(OR(AND(S11="",Q11&lt;&gt;"")),VLOOKUP(Q11,Data!$FC$2:$FD$19,2,FALSE),"")</f>
        <v/>
      </c>
      <c r="CG11" s="174" t="str">
        <f>IF(N11=Data!$BI$3,Data!$FJ$1,IF(N11=Data!$BI$4,Data!$FK$1,IF(N11=Data!$BI$5,Data!$FL$1,IF(N11=Data!$BI$6,Data!$FM$1,IF(N11=Data!$BI$7,Data!$FN$1, IF(N11=Data!$BI$8,Data!$FO$1, IF(N11=Data!$BI$9,Data!$FI$1, "")))))))</f>
        <v/>
      </c>
      <c r="CH11" s="174" t="str">
        <f>IF(SUM(--ISNUMBER(SEARCH({"z","Z"}, Q11))),"Yes","No")</f>
        <v>No</v>
      </c>
      <c r="CI11" s="174" t="str">
        <f t="shared" si="24"/>
        <v>OK</v>
      </c>
      <c r="CJ11" s="174">
        <f t="shared" si="25"/>
        <v>0</v>
      </c>
      <c r="CK11" s="174" t="e">
        <f>VLOOKUP(P11,Data!$DO$4:$DP$157,2,FALSE)</f>
        <v>#N/A</v>
      </c>
      <c r="CL11" s="174" t="e">
        <f t="shared" si="26"/>
        <v>#N/A</v>
      </c>
      <c r="CM11" s="162"/>
      <c r="CN11" s="162" t="s">
        <v>661</v>
      </c>
      <c r="CO11" s="162" t="str">
        <f>IF(COUNTIF(M9:M23,Data!EJ6)+COUNTIF(M9:M23,Data!EJ7)+COUNTIF(M9:M23,Data!EJ9)+COUNTIF(M9:M23,Data!EJ10)+COUNTIF(M9:M23,Data!EJ15)+COUNTIF(M9:M23,Data!EJ11)+COUNTIF(M9:M23,Data!EJ12),Data!EL6,"")</f>
        <v/>
      </c>
      <c r="CP11" s="366" t="str">
        <f t="shared" si="27"/>
        <v>OK</v>
      </c>
      <c r="CQ11" s="174" t="b">
        <f t="shared" si="28"/>
        <v>0</v>
      </c>
      <c r="CR11" s="174">
        <f t="shared" si="29"/>
        <v>0</v>
      </c>
      <c r="CS11" s="174">
        <f t="shared" si="30"/>
        <v>1</v>
      </c>
      <c r="CT11" s="174">
        <f t="shared" si="56"/>
        <v>0</v>
      </c>
      <c r="CU11" s="162" t="e">
        <f t="shared" si="31"/>
        <v>#DIV/0!</v>
      </c>
      <c r="CV11" s="162" t="e">
        <f>VLOOKUP(H11,Data!$BD$81:$BE$111,2,FALSE)</f>
        <v>#N/A</v>
      </c>
      <c r="CW11" s="174" t="str">
        <f t="shared" si="32"/>
        <v/>
      </c>
      <c r="CX11" s="292" t="str">
        <f>IF(H11=Data!$BE$3,Data!$HQ$2, IF(H11=Data!$BE$4,Data!$HP$2, IF(H11=Data!$BE$5,Data!$HR$2, IF(H11=Data!$BE$6,Data!$HO$2))))</f>
        <v>Super WhiteNA</v>
      </c>
      <c r="CY11" s="351" t="b">
        <f>IF(H11=Data!$BH$3,Data!$HU$2, IF(H11=Data!$BH$4,Data!$HT$2, IF(H11=Data!$BH$5,Data!$HS$2)))</f>
        <v>0</v>
      </c>
      <c r="CZ11" s="351" t="b">
        <f>IF(H11=Data!$BF$3,Data!$HQ$16, IF(H11=Data!$BF$4,Data!$HP$16, IF(H11=Data!$BF$5,Data!$HR$16, IF(H11=Data!$BF$6,Data!$HO$16))))</f>
        <v>0</v>
      </c>
      <c r="DA11" s="351" t="b">
        <f>IF(G11=Data!$BC$3,'Shutters Page 2'!CW11,IF(G11=Data!$BC$4,'Shutters Page 2'!CX11,IF(G11=Data!$BC$6,'Shutters Page 2'!CY11, IF(G11=Data!$BC$5, 'Shutters Page 2'!CX11,IF(G11=Data!$BC$7,'Shutters Page 2'!CX11)))))</f>
        <v>0</v>
      </c>
      <c r="DB11" s="162" t="e">
        <f>IF(OR(AND(L11&gt;0,#REF!="")), "Error","OK")</f>
        <v>#REF!</v>
      </c>
      <c r="DC11" s="174" t="e">
        <f>IF(COUNTIF(#REF!,Data!$CX$6),"Yes","")</f>
        <v>#REF!</v>
      </c>
      <c r="DD11" s="55" t="str">
        <f t="shared" si="33"/>
        <v/>
      </c>
      <c r="DG11" s="55" t="str">
        <f>IF(N11=Data!$BI$5,"Yes",IF(N11=Data!$BI$6,"Yes","No"))</f>
        <v>No</v>
      </c>
      <c r="DH11" s="66" t="b">
        <f>IF(N11=Data!$BI$3,Data!$JB$2,IF(N11=Data!$BI$4,Data!$JC$2,IF(N11=Data!$BI$5,Data!$JD$2,IF(N11=Data!$BI$6,DI11,IF(N11=Data!$BI$7,Data!$JF$2, IF(N11=Data!$BI$8,Data!$JA$2, IF(N11=Data!$BI$9,Data!$JG$2)))))))</f>
        <v>0</v>
      </c>
      <c r="DI11" s="55" t="e">
        <f>VLOOKUP(P11,Data!$AAY$2:$ABA$44,3,FALSE)</f>
        <v>#N/A</v>
      </c>
      <c r="DK11" s="66" t="e">
        <f>VLOOKUP(P11,Data!$DO$4:$DQ$157,3,FALSE)</f>
        <v>#N/A</v>
      </c>
      <c r="DL11" s="55" t="e">
        <f t="shared" si="34"/>
        <v>#N/A</v>
      </c>
      <c r="DM11" s="55" t="e">
        <f t="shared" si="57"/>
        <v>#N/A</v>
      </c>
      <c r="DN11" s="162" t="b">
        <f>IF(Q11=Data!$BK$3,Data!$JH$2,IF(Q11=Data!$BK$4,Data!$JI$2,IF(Q11=Data!$BK$5,Data!$JJ$2,IF(Q11=Data!$BK$6,Data!$JK$2,IF(Q11=Data!$BK$7,Data!$JL$2,IF(Q11=Data!$BK$8,Data!$JM$2,IF(Q11=Data!$BK$9,Data!$JN$2,IF(Q11=Data!$BK$10,Data!$JO$2,IF(Q11=Data!$BK$11,Data!$JP$2,IF(Q11=Data!$BK$12,Data!$JQ$2,IF(Q11=Data!$BK$13,Data!$JR$2,IF(Q11=Data!$BK$14,Data!$JS$2,IF(Q11=Data!$BK$15,Data!$JT$2,IF(Q11=Data!$BK$16,Data!$JU$2,IF(Q11=Data!$BK$17,Data!$JV$2,IF(Q11=Data!$BK$18,Data!$JW$2, IF(Q11=Data!$BK$19,Data!$JX$2, IF(Q11=Data!$BK$20,Data!$JY$2, IF(Q11=Data!$BK$21,Data!$JN$2, IF(Q11=Data!$BK$22,Data!$JN$2, IF(Q11=Data!$BK$23,Data!$JN$2, IF(Q11=Data!$BK$24,Data!$JL$19))))))))))))))))))))))</f>
        <v>0</v>
      </c>
      <c r="DO11" s="55" t="str">
        <f>Data!$JH$19</f>
        <v>LRFrameAir</v>
      </c>
      <c r="DP11" s="55" t="b">
        <f>IF(G11=Data!$JH$18,'Shutters Page 2'!DO11,'Shutters Page 2'!DN11)</f>
        <v>0</v>
      </c>
      <c r="DR11" s="174" t="str">
        <f t="shared" si="58"/>
        <v/>
      </c>
      <c r="DS11" s="174" t="e">
        <f t="shared" si="59"/>
        <v>#N/A</v>
      </c>
      <c r="DT11" s="174" t="str">
        <f t="shared" si="35"/>
        <v>OK</v>
      </c>
      <c r="DU11" s="174" t="str">
        <f t="shared" si="36"/>
        <v>OK</v>
      </c>
      <c r="DV11" s="174" t="str">
        <f t="shared" si="37"/>
        <v>OK</v>
      </c>
      <c r="DW11" s="174" t="str">
        <f t="shared" si="38"/>
        <v>OK</v>
      </c>
      <c r="DX11" s="66" t="b">
        <f>IF(N11=Data!$LW$2,Data!$LX$1,IF(N11=Data!$LW$3,Data!$LY$1,IF(N11=Data!$LW$4,Data!$LZ$1,IF(N11=Data!$LW$5,Data!$MA$1,IF(N11=Data!$LW$6,Data!$MB$1,IF(N11=Data!$LW$7,Data!$MC$1, IF(N11=Data!$LW$8,Data!$MX$1)))))))</f>
        <v>0</v>
      </c>
      <c r="DY11" s="66" t="b">
        <f>IF(N11=Data!$LW$2,Data!$LX$147,IF(N11=Data!$LW$7,Data!$MC$1))</f>
        <v>0</v>
      </c>
      <c r="DZ11" s="66" t="b">
        <f>IF(G11=Data!$BC$3,'Shutters Page 2'!DX11,IF(G11=Data!$BC$5,'Shutters Page 2'!DY11))</f>
        <v>0</v>
      </c>
      <c r="EA11" s="66" t="b">
        <f>IF(E11=Data!$MD$2,Data!$ME$2, IF(E11=Data!$MD$3,Data!$MF$2, IF(E11=Data!$MD$4,Data!$MG$2)))</f>
        <v>0</v>
      </c>
      <c r="EB11" s="162" t="str">
        <f>IF(E11="MS",Data!$AK$1,IF(G11=Data!$BC$5,Data!$EJ$40,IF(G11=Data!$BC$4,Data!$EJ$20,Data!$EJ$2)))</f>
        <v>Special_Window_Timber</v>
      </c>
      <c r="EC11" s="66" t="str">
        <f>IF(OR(AND(T11="",Q11&lt;&gt;"")),VLOOKUP(Q11,Data!$FC$2:$FD$18,2,FALSE),"")</f>
        <v/>
      </c>
      <c r="ED11" s="66" t="str">
        <f>IF(OR(AND(U11="",Q11&lt;&gt;"")),VLOOKUP(Q11,Data!$FC$2:$FD$18,2,FALSE),"")</f>
        <v/>
      </c>
      <c r="EE11" s="66" t="str">
        <f>IF(OR(AND(V11="",Q11&lt;&gt;"")),VLOOKUP(Q11,Data!$FC$2:$FD$18,2,FALSE),"")</f>
        <v/>
      </c>
      <c r="EF11" s="162" t="e">
        <f>VLOOKUP(N11,Data!$MK$2:$ML$8,2,FALSE)</f>
        <v>#N/A</v>
      </c>
      <c r="EG11" s="66" t="e">
        <f>VLOOKUP(P11,Data!$DO$4:$DO$158,1,FALSE)</f>
        <v>#N/A</v>
      </c>
      <c r="EH11" s="66" t="e">
        <f t="shared" si="39"/>
        <v>#N/A</v>
      </c>
      <c r="EI11" s="55" t="str">
        <f t="shared" si="40"/>
        <v/>
      </c>
      <c r="EJ11" s="162" t="str">
        <f t="shared" si="41"/>
        <v>OK</v>
      </c>
      <c r="EK11" s="405" t="str">
        <f>Data!$JI$19</f>
        <v>TopBottomFrameAir</v>
      </c>
      <c r="EL11" s="405" t="b">
        <f>IF(G11=Data!$JH$18,EK11,EM11)</f>
        <v>0</v>
      </c>
      <c r="EM11" s="174" t="b">
        <f>IF(Q11=Data!$NN$3,Data!$NO$2, IF(Q11=Data!$NN$4,Data!$NP$2, IF(Q11=Data!$NN$5,Data!$NQ$2, IF(Q11=Data!$NN$6,Data!$NR$2, IF(Q11=Data!$NN$7,Data!$NS$2, IF(Q11=Data!$NN$8,Data!$NT$2, IF(Q11=Data!$NN$9,Data!$NU$2, IF(Q11=Data!$NN$10,Data!$NV$2, IF(Q11=Data!$NN$11,Data!$NW$2, IF(Q11=Data!$NN$12,Data!$NX$2, IF(Q11=Data!$NN$13,Data!$NY$2, IF(Q11=Data!$NN$14,Data!$NZ$2, IF(Q11=Data!$NN$15,Data!$OA$2, IF(Q11=Data!$NN$16,Data!$OB$2, IF(Q11=Data!$NN$17,Data!$OC$2, IF(Q11=Data!$NN$18,Data!$OD$2, IF(Q11=Data!$NN$19,Data!$OE$2, IF(Q11=Data!$NN$20,Data!$OG$2, IF(Q11=Data!$NN$25,Data!$NT$2, IF(Q11=Data!$NN$26,Data!$NT$2, IF(Q11=Data!$NN$27,Data!$NT$2, IF(Q11=Data!$NN$28,Data!$OH$2))))))))))))))))))))))</f>
        <v>0</v>
      </c>
      <c r="EN11" s="174" t="b">
        <f>IF(O11=$EN$7,Data!$OD$15,'Shutters Page 2'!EO11)</f>
        <v>0</v>
      </c>
      <c r="EO11" s="174" t="b">
        <f>IF(Q11=Data!$NN$3,Data!$NO$15,IF(Q11=Data!$NN$4,Data!$NP$15,IF(Q11=Data!$NN$5,Data!$NQ$15,IF(Q11=Data!$NN$6,Data!$NR$15,IF(Q11=Data!$NN$7,Data!$NS$15,IF(Q11=Data!$NN$8,Data!$NT$15,IF(Q11=Data!$NN$9,Data!$NU$15,IF(Q11=Data!$NN$10,Data!$NV$15,IF(Q11=Data!$NN$11,Data!$NW$15,IF(Q11=Data!$NN$12,Data!$NX$15,IF(Q11=Data!$NN$13,Data!$NY$15,IF(Q11=Data!$NN$14,Data!$NZ$15,IF(N11=Data!$NN$22,Data!$OA$15,IF(N11=Data!$NN$23,Data!$OB$15,IF(Q11=Data!$NN$19,Data!$OC$15, IF(Q11=Data!$NN$20,Data!$OG$15,IF(Q11=Data!$NN$25,Data!$NT$15,IF(Q11=Data!$NN$26,Data!$NT$15,IF(Q11=Data!$NN$27,Data!$NT$15,IF(Q11=Data!$NN$28,Data!$OH$15))))))))))))))))))))</f>
        <v>0</v>
      </c>
      <c r="EP11" s="406" t="str">
        <f>Data!$JI$19</f>
        <v>TopBottomFrameAir</v>
      </c>
      <c r="EQ11" s="406" t="b">
        <f>IF(G11=Data!$JH$18,EP11,EN11)</f>
        <v>0</v>
      </c>
      <c r="ER11" s="351" t="e">
        <f>MATCH(G11,Data!$CW$10:$CW$14,0)</f>
        <v>#N/A</v>
      </c>
      <c r="ES11" s="174" t="e">
        <f>MATCH(J11,Data!$CX$9:$DA$9,0)</f>
        <v>#N/A</v>
      </c>
      <c r="ET11" s="355" t="e">
        <f>INDEX(Data!$CX$10:$DA$14,'Shutters Page 2'!ER11,'Shutters Page 2'!ES11)</f>
        <v>#N/A</v>
      </c>
      <c r="EU11" s="355" t="e">
        <f>VLOOKUP(H11,Data!$BD$81:$BE$115,2,FALSE)</f>
        <v>#N/A</v>
      </c>
      <c r="EV11" s="355" t="e">
        <f>IF(EU11=Data!$BB$80,Data!$CW$20,'Shutters Page 2'!ET11)</f>
        <v>#N/A</v>
      </c>
      <c r="EW11" s="174" t="str">
        <f>IF(SUM(--ISNUMBER(SEARCH({"combo","Combo","COMBO"}, B28))),"Yes","No")</f>
        <v>No</v>
      </c>
      <c r="EX11" s="174" t="str">
        <f>IF(SUM(--ISNUMBER(SEARCH({"combo","Combo","COMBO"}, F28))),"Yes","No")</f>
        <v>No</v>
      </c>
      <c r="EY11" s="174" t="str">
        <f t="shared" si="60"/>
        <v>No</v>
      </c>
      <c r="EZ11" s="162">
        <f t="shared" si="42"/>
        <v>1</v>
      </c>
      <c r="FA11" s="162" t="e">
        <f t="shared" si="43"/>
        <v>#DIV/0!</v>
      </c>
      <c r="FB11" s="174" t="str">
        <f t="shared" si="44"/>
        <v/>
      </c>
      <c r="FC11" s="351" t="str">
        <f t="shared" si="45"/>
        <v/>
      </c>
      <c r="FD11" s="351" t="str">
        <f t="shared" si="46"/>
        <v/>
      </c>
      <c r="FE11" s="174" t="str">
        <f t="shared" si="47"/>
        <v/>
      </c>
      <c r="FF11" s="174" t="str">
        <f t="shared" si="48"/>
        <v/>
      </c>
      <c r="FG11" s="174" t="str">
        <f t="shared" si="49"/>
        <v/>
      </c>
      <c r="FH11" s="278" t="str">
        <f t="shared" si="61"/>
        <v>No</v>
      </c>
      <c r="FI11" s="351" t="e">
        <f>MATCH(G11,Data!$FH$18:$FL$18,0)</f>
        <v>#N/A</v>
      </c>
      <c r="FJ11" s="174" t="e">
        <f>MATCH(N11,Data!$FG$19:$FG$25,0)</f>
        <v>#N/A</v>
      </c>
      <c r="FK11" s="351" t="e">
        <f>INDEX(Data!$FH$19:$FL$25,'Shutters Page 2'!FJ11,'Shutters Page 2'!FI11)</f>
        <v>#N/A</v>
      </c>
      <c r="FL11" s="411" t="e">
        <f>MATCH(G11,Data!$FH$53:$FI$53,0)</f>
        <v>#N/A</v>
      </c>
      <c r="FM11" s="411" t="e">
        <f>MATCH(N11,Data!$FG$54:$FG$60,0)</f>
        <v>#N/A</v>
      </c>
      <c r="FN11" s="411" t="e">
        <f>INDEX(Data!$FH$54:$FI$60,'Shutters Page 2'!FM11,'Shutters Page 2'!FL11)</f>
        <v>#N/A</v>
      </c>
      <c r="FO11" s="411" t="e">
        <f>IF(E11=Data!$FH$35,'Shutters Page 2'!FN11,'Shutters Page 2'!FK11)</f>
        <v>#N/A</v>
      </c>
      <c r="FP11" s="351" t="e">
        <f>MATCH(G11,Data!$ME$26:$MG$26,0)</f>
        <v>#N/A</v>
      </c>
      <c r="FQ11" s="174" t="e">
        <f>MATCH(E11,Data!$MD$27:$MD$29,0)</f>
        <v>#N/A</v>
      </c>
      <c r="FR11" s="351" t="e">
        <f>INDEX(Data!$ME$27:$MG$29, 'Shutters Page 2'!FQ11, 'Shutters Page 2'!FP11)</f>
        <v>#N/A</v>
      </c>
      <c r="FS11" s="351" t="e">
        <f>MATCH(G11,Data!$AAF$1:$AAH$1,0)</f>
        <v>#N/A</v>
      </c>
      <c r="FT11" s="174" t="e">
        <f>MATCH(N11,Data!$AAE$2:$AAE$8,0)</f>
        <v>#N/A</v>
      </c>
      <c r="FU11" s="351" t="e">
        <f>INDEX(Data!$AAF$2:$AAH$8, 'Shutters Page 2'!FT11, 'Shutters Page 2'!FS11)</f>
        <v>#N/A</v>
      </c>
      <c r="FV11" s="351" t="e">
        <f>MATCH(G11,Data!$AAF$12:$AAH$12,0)</f>
        <v>#N/A</v>
      </c>
      <c r="FW11" s="174" t="e">
        <f>MATCH(N11,Data!$AAE$13:$AAE$19,0)</f>
        <v>#N/A</v>
      </c>
      <c r="FX11" s="351" t="e">
        <f>INDEX(Data!$AAF$13:$AAH$19, 'Shutters Page 2'!FW11, 'Shutters Page 2'!FV11)</f>
        <v>#N/A</v>
      </c>
      <c r="FY11" s="351" t="e">
        <f>MATCH(G11,Data!$AAK$1:$AAM$1,0)</f>
        <v>#N/A</v>
      </c>
      <c r="FZ11" s="174" t="e">
        <f>MATCH(Q11,Data!$AAJ$2,0)</f>
        <v>#N/A</v>
      </c>
      <c r="GA11" s="351" t="e">
        <f>INDEX(Data!$AAK$2:$AAM$2, 'Shutters Page 2'!FZ11, 'Shutters Page 2'!FY11)</f>
        <v>#N/A</v>
      </c>
      <c r="GB11" s="351" t="e">
        <f>MATCH(G11,Data!$AAK$12:$AAM$12,0)</f>
        <v>#N/A</v>
      </c>
      <c r="GC11" s="174" t="e">
        <f>MATCH(Q11,Data!$AAJ$13,0)</f>
        <v>#N/A</v>
      </c>
      <c r="GD11" s="351" t="e">
        <f>INDEX(Data!$AAK$13:$AAM$13, 'Shutters Page 2'!GC11, 'Shutters Page 2'!GB11)</f>
        <v>#N/A</v>
      </c>
      <c r="GE11" s="162" t="e">
        <f>VLOOKUP(H11,Data!$AAR$1:$AAS$35,2,FALSE)</f>
        <v>#N/A</v>
      </c>
      <c r="GF11" s="162" t="e">
        <f t="shared" si="50"/>
        <v>#N/A</v>
      </c>
      <c r="GG11" s="162" t="e">
        <f t="shared" si="51"/>
        <v>#N/A</v>
      </c>
      <c r="GH11" s="162" t="e">
        <f t="shared" si="52"/>
        <v>#N/A</v>
      </c>
      <c r="GI11" s="162" t="str">
        <f>IF(G11=Data!$NC$1,Data!$ND$1,Data!$NE$1)</f>
        <v>FauxwoodStile</v>
      </c>
      <c r="GJ11" s="55">
        <f>IF(COUNT(#REF!)&gt;0,3,0)</f>
        <v>0</v>
      </c>
      <c r="GK11" s="55" t="s">
        <v>1924</v>
      </c>
      <c r="GL11" s="55" t="e">
        <f>VLOOKUP('Shutters Page 2'!H11,Data!$BD$81:$BE$115,2,FALSE)</f>
        <v>#N/A</v>
      </c>
      <c r="GM11" s="55" t="e">
        <f>IF(GL11=Data!$BB$80,"Yes", "No")</f>
        <v>#N/A</v>
      </c>
      <c r="GN11" s="55" t="e">
        <f>IF(GM11="Yes",Data!$EJ$57,'Shutters Page 2'!EB11)</f>
        <v>#N/A</v>
      </c>
      <c r="GQ11" s="55" t="b">
        <f>IF(G11=$GQ$6,Data!$EN$47,IF(G11='Shutters Page 2'!$GQ$7,Data!$EM$47))</f>
        <v>0</v>
      </c>
    </row>
    <row r="12" spans="1:199" ht="36.75" customHeight="1">
      <c r="A12" s="53">
        <v>4</v>
      </c>
      <c r="B12" s="17"/>
      <c r="C12" s="14"/>
      <c r="D12" s="14"/>
      <c r="E12" s="10"/>
      <c r="F12" s="10"/>
      <c r="G12" s="13"/>
      <c r="H12" s="555"/>
      <c r="I12" s="603"/>
      <c r="J12" s="14"/>
      <c r="K12" s="149" t="str">
        <f t="shared" si="0"/>
        <v/>
      </c>
      <c r="L12" s="15"/>
      <c r="M12" s="15"/>
      <c r="N12" s="15"/>
      <c r="O12" s="15"/>
      <c r="P12" s="15"/>
      <c r="Q12" s="486"/>
      <c r="R12" s="486"/>
      <c r="S12" s="13"/>
      <c r="T12" s="13"/>
      <c r="U12" s="13"/>
      <c r="V12" s="13"/>
      <c r="W12" s="15"/>
      <c r="X12" s="15"/>
      <c r="Y12" s="16"/>
      <c r="Z12" s="16"/>
      <c r="AA12" s="14"/>
      <c r="AB12" s="14"/>
      <c r="AC12" s="14"/>
      <c r="AD12" s="386"/>
      <c r="AE12" s="169" t="str">
        <f t="shared" si="1"/>
        <v/>
      </c>
      <c r="AF12" s="236"/>
      <c r="AG12" s="237"/>
      <c r="AI12" s="55">
        <f t="shared" si="2"/>
        <v>0</v>
      </c>
      <c r="AJ12" s="55">
        <f t="shared" si="3"/>
        <v>0</v>
      </c>
      <c r="AK12" s="55">
        <f>IF(P12&lt;&gt;"",VLOOKUP(P12,Data!$AAY$2:$AAZ$44,2,FALSE),0)</f>
        <v>0</v>
      </c>
      <c r="AL12" s="55" t="str">
        <f>IF(E12=Data!$BB$10,Data!$BC$10,Data!$BC$2)</f>
        <v>ShutterMaterial</v>
      </c>
      <c r="AP12" s="55" t="str">
        <f t="shared" si="53"/>
        <v>SlidingSystemNA</v>
      </c>
      <c r="AV12" s="114" t="str">
        <f t="shared" si="4"/>
        <v/>
      </c>
      <c r="AW12" s="66" t="e">
        <f t="shared" si="5"/>
        <v>#N/A</v>
      </c>
      <c r="AX12" s="174" t="e">
        <f>VLOOKUP(Q12,Data!$MI$2:$MJ$4,2,FALSE)</f>
        <v>#N/A</v>
      </c>
      <c r="AY12" s="174" t="e">
        <f t="shared" si="6"/>
        <v>#N/A</v>
      </c>
      <c r="AZ12" s="174" t="e">
        <f>VLOOKUP(N12,Data!$BI$24:$BJ$30,2,FALSE)</f>
        <v>#N/A</v>
      </c>
      <c r="BA12" s="160" t="b">
        <f>IF(G12=Data!$BO$2,Data!$BS$2, IF('Shutters Page 2'!G12=Data!$BP$2,Data!$BT$2, IF('Shutters Page 2'!G12=Data!$BQ$2,Data!$BU$2)))</f>
        <v>0</v>
      </c>
      <c r="BB12" s="361" t="str">
        <f t="shared" si="7"/>
        <v>No</v>
      </c>
      <c r="BC12" s="160" t="e">
        <f t="shared" si="8"/>
        <v>#DIV/0!</v>
      </c>
      <c r="BD12" s="361" t="e">
        <f t="shared" si="9"/>
        <v>#DIV/0!</v>
      </c>
      <c r="BE12" s="160" t="e">
        <f t="shared" si="10"/>
        <v>#DIV/0!</v>
      </c>
      <c r="BF12" s="361" t="str">
        <f t="shared" si="11"/>
        <v>No</v>
      </c>
      <c r="BG12" s="160" t="str">
        <f t="shared" si="12"/>
        <v>NotRequired</v>
      </c>
      <c r="BH12" s="160" t="b">
        <f>IF(G12=Data!$BO$2,Data!$CM$2, IF('Shutters Page 2'!G12=Data!$BP$2,Data!$CN$2, IF('Shutters Page 2'!G12=Data!$BQ$2,Data!$CO$2)))</f>
        <v>0</v>
      </c>
      <c r="BI12" s="160" t="e">
        <f t="shared" si="54"/>
        <v>#DIV/0!</v>
      </c>
      <c r="BJ12" s="161" t="str">
        <f t="shared" si="13"/>
        <v>NoHighlight</v>
      </c>
      <c r="BK12" s="361" t="str">
        <f t="shared" si="14"/>
        <v>FauxwoodRPNo</v>
      </c>
      <c r="BL12" s="161" t="str">
        <f>IF(SUM(--ISNUMBER( SEARCH({"t","T"},P12))),"Yes","No")</f>
        <v>No</v>
      </c>
      <c r="BM12" s="161" t="str">
        <f t="shared" si="15"/>
        <v>OK</v>
      </c>
      <c r="BN12" s="161" t="str">
        <f t="shared" si="16"/>
        <v>OK</v>
      </c>
      <c r="BO12" s="161" t="str">
        <f t="shared" si="17"/>
        <v>OK</v>
      </c>
      <c r="BP12" s="161" t="e">
        <f>IF(OR(AND(F12&gt;1,#REF!="L",#REF!="l"),AND(F12&gt;1,#REF!="R",#REF!="r"),AND(F12&gt;2,#REF!="LR",#REF!="lr")), "Error","OK")</f>
        <v>#REF!</v>
      </c>
      <c r="BQ12" s="161" t="str">
        <f t="shared" si="18"/>
        <v>FauxwoodAINo</v>
      </c>
      <c r="BR12" s="161" t="str">
        <f>IF(SUM(--ISNUMBER(SEARCH({"combo","Combo","COMBO"}, B29))),"Yes","No")</f>
        <v>No</v>
      </c>
      <c r="BS12" s="161" t="str">
        <f t="shared" si="55"/>
        <v>No</v>
      </c>
      <c r="BT12" s="161" t="str">
        <f>IF(SUM(--ISNUMBER( SEARCH({"c","C","b","B"},#REF!))),"Yes","No")</f>
        <v>No</v>
      </c>
      <c r="BU12" s="162">
        <f t="shared" si="19"/>
        <v>0</v>
      </c>
      <c r="BV12" s="174" t="str">
        <f>IF(N12=Data!$BI$3,Data!$DR$3,IF(N12=Data!$BI$4,Data!$DS$3,IF(N12=Data!$BI$5,Data!$DT$3,IF(N12=Data!$BI$6,Data!$DU$3,IF(N12=Data!$BI$7,Data!$DV$3, IF(N12=Data!$BI$8,Data!$DX$3, IF(N12=Data!$BI$9,Data!$DW$3, "")))))))</f>
        <v/>
      </c>
      <c r="BW12" s="174" t="str">
        <f>IF(N12=Data!$BI$3,Data!$DY$3,IF(N12=Data!$BI$4,Data!$DZ$3,IF(N12=Data!$BI$5,Data!$EA$3,IF(N12=Data!$BI$6,Data!$EB$3,IF(N12=Data!$BI$7,Data!$EC$3,IF(N12=Data!$BI$8,Data!$EE$3, IF(N12=Data!$BI$9,Data!$ED$3,"")))))))</f>
        <v/>
      </c>
      <c r="BX12" s="162">
        <f t="shared" si="20"/>
        <v>0</v>
      </c>
      <c r="BY12" s="162">
        <f t="shared" si="21"/>
        <v>0</v>
      </c>
      <c r="BZ12" s="174" t="e">
        <f t="shared" si="22"/>
        <v>#DIV/0!</v>
      </c>
      <c r="CA12" s="351" t="b">
        <f>IF(G12=Data!$EU$2,Data!$ES$2,IF(G12=Data!$EU$3,Data!$ER$2, IF(G12=Data!$EU$5,Data!$ET$2, IF(G12=Data!$EU$4,Data!$EQ$2,IF(G12=Data!$EU$6,Data!$ER$2)))))</f>
        <v>0</v>
      </c>
      <c r="CB12" s="351" t="b">
        <f>IF(G12=Data!$EU$2,Data!$EW$2,IF(G12=Data!$EU$3,Data!$EX$2,IF(G12=Data!$EU$4,Data!$EY$2, IF(G12=Data!$EU$5,Data!$EY$2,IF(G12=Data!$EU$6,Data!$EX$2)))))</f>
        <v>0</v>
      </c>
      <c r="CC12" s="174" t="e">
        <f>VLOOKUP(M12,Data!$EJ$3:$EK$15,2,FALSE)</f>
        <v>#N/A</v>
      </c>
      <c r="CD12" s="174" t="str">
        <f>IF(J12="114mm",VLOOKUP(H12,Data!$FA$2:$FB$18,2,FALSE),"OK")</f>
        <v>OK</v>
      </c>
      <c r="CE12" s="174" t="e">
        <f t="shared" si="23"/>
        <v>#DIV/0!</v>
      </c>
      <c r="CF12" s="174" t="str">
        <f>IF(OR(AND(S12="",Q12&lt;&gt;"")),VLOOKUP(Q12,Data!$FC$2:$FD$19,2,FALSE),"")</f>
        <v/>
      </c>
      <c r="CG12" s="174" t="str">
        <f>IF(N12=Data!$BI$3,Data!$FJ$1,IF(N12=Data!$BI$4,Data!$FK$1,IF(N12=Data!$BI$5,Data!$FL$1,IF(N12=Data!$BI$6,Data!$FM$1,IF(N12=Data!$BI$7,Data!$FN$1, IF(N12=Data!$BI$8,Data!$FO$1, IF(N12=Data!$BI$9,Data!$FI$1, "")))))))</f>
        <v/>
      </c>
      <c r="CH12" s="174" t="str">
        <f>IF(SUM(--ISNUMBER(SEARCH({"z","Z"}, Q12))),"Yes","No")</f>
        <v>No</v>
      </c>
      <c r="CI12" s="174" t="str">
        <f t="shared" si="24"/>
        <v>OK</v>
      </c>
      <c r="CJ12" s="174">
        <f t="shared" si="25"/>
        <v>0</v>
      </c>
      <c r="CK12" s="174" t="e">
        <f>VLOOKUP(P12,Data!$DO$4:$DP$157,2,FALSE)</f>
        <v>#N/A</v>
      </c>
      <c r="CL12" s="174" t="e">
        <f t="shared" si="26"/>
        <v>#N/A</v>
      </c>
      <c r="CM12" s="162"/>
      <c r="CN12" s="162" t="s">
        <v>662</v>
      </c>
      <c r="CO12" s="162" t="str">
        <f>IF(COUNTIF(M9:M23,Data!EJ8)+COUNTIF(M9:M23,Data!EJ13)+COUNTIF(M9:M23,Data!EJ14),Data!EL8,"")</f>
        <v/>
      </c>
      <c r="CP12" s="366" t="str">
        <f t="shared" si="27"/>
        <v>OK</v>
      </c>
      <c r="CQ12" s="174" t="b">
        <f t="shared" si="28"/>
        <v>0</v>
      </c>
      <c r="CR12" s="174">
        <f t="shared" si="29"/>
        <v>0</v>
      </c>
      <c r="CS12" s="174">
        <f t="shared" si="30"/>
        <v>1</v>
      </c>
      <c r="CT12" s="174">
        <f t="shared" si="56"/>
        <v>0</v>
      </c>
      <c r="CU12" s="162" t="e">
        <f t="shared" si="31"/>
        <v>#DIV/0!</v>
      </c>
      <c r="CV12" s="162" t="e">
        <f>VLOOKUP(H12,Data!$BD$81:$BE$111,2,FALSE)</f>
        <v>#N/A</v>
      </c>
      <c r="CW12" s="174" t="str">
        <f t="shared" si="32"/>
        <v/>
      </c>
      <c r="CX12" s="292" t="str">
        <f>IF(H12=Data!$BE$3,Data!$HQ$2, IF(H12=Data!$BE$4,Data!$HP$2, IF(H12=Data!$BE$5,Data!$HR$2, IF(H12=Data!$BE$6,Data!$HO$2))))</f>
        <v>Super WhiteNA</v>
      </c>
      <c r="CY12" s="351" t="b">
        <f>IF(H12=Data!$BH$3,Data!$HU$2, IF(H12=Data!$BH$4,Data!$HT$2, IF(H12=Data!$BH$5,Data!$HS$2)))</f>
        <v>0</v>
      </c>
      <c r="CZ12" s="351" t="b">
        <f>IF(H12=Data!$BF$3,Data!$HQ$16, IF(H12=Data!$BF$4,Data!$HP$16, IF(H12=Data!$BF$5,Data!$HR$16, IF(H12=Data!$BF$6,Data!$HO$16))))</f>
        <v>0</v>
      </c>
      <c r="DA12" s="351" t="b">
        <f>IF(G12=Data!$BC$3,'Shutters Page 2'!CW12,IF(G12=Data!$BC$4,'Shutters Page 2'!CX12,IF(G12=Data!$BC$6,'Shutters Page 2'!CY12, IF(G12=Data!$BC$5, 'Shutters Page 2'!CX12,IF(G12=Data!$BC$7,'Shutters Page 2'!CX12)))))</f>
        <v>0</v>
      </c>
      <c r="DB12" s="162" t="e">
        <f>IF(OR(AND(L12&gt;0,#REF!="")), "Error","OK")</f>
        <v>#REF!</v>
      </c>
      <c r="DC12" s="174" t="e">
        <f>IF(COUNTIF(#REF!,Data!$CX$6),"Yes","")</f>
        <v>#REF!</v>
      </c>
      <c r="DD12" s="55" t="str">
        <f t="shared" si="33"/>
        <v/>
      </c>
      <c r="DG12" s="55" t="str">
        <f>IF(N12=Data!$BI$5,"Yes",IF(N12=Data!$BI$6,"Yes","No"))</f>
        <v>No</v>
      </c>
      <c r="DH12" s="66" t="b">
        <f>IF(N12=Data!$BI$3,Data!$JB$2,IF(N12=Data!$BI$4,Data!$JC$2,IF(N12=Data!$BI$5,Data!$JD$2,IF(N12=Data!$BI$6,DI12,IF(N12=Data!$BI$7,Data!$JF$2, IF(N12=Data!$BI$8,Data!$JA$2, IF(N12=Data!$BI$9,Data!$JG$2)))))))</f>
        <v>0</v>
      </c>
      <c r="DI12" s="55" t="e">
        <f>VLOOKUP(P12,Data!$AAY$2:$ABA$44,3,FALSE)</f>
        <v>#N/A</v>
      </c>
      <c r="DK12" s="66" t="e">
        <f>VLOOKUP(P12,Data!$DO$4:$DQ$157,3,FALSE)</f>
        <v>#N/A</v>
      </c>
      <c r="DL12" s="55" t="e">
        <f t="shared" si="34"/>
        <v>#N/A</v>
      </c>
      <c r="DM12" s="55" t="e">
        <f t="shared" si="57"/>
        <v>#N/A</v>
      </c>
      <c r="DN12" s="162" t="b">
        <f>IF(Q12=Data!$BK$3,Data!$JH$2,IF(Q12=Data!$BK$4,Data!$JI$2,IF(Q12=Data!$BK$5,Data!$JJ$2,IF(Q12=Data!$BK$6,Data!$JK$2,IF(Q12=Data!$BK$7,Data!$JL$2,IF(Q12=Data!$BK$8,Data!$JM$2,IF(Q12=Data!$BK$9,Data!$JN$2,IF(Q12=Data!$BK$10,Data!$JO$2,IF(Q12=Data!$BK$11,Data!$JP$2,IF(Q12=Data!$BK$12,Data!$JQ$2,IF(Q12=Data!$BK$13,Data!$JR$2,IF(Q12=Data!$BK$14,Data!$JS$2,IF(Q12=Data!$BK$15,Data!$JT$2,IF(Q12=Data!$BK$16,Data!$JU$2,IF(Q12=Data!$BK$17,Data!$JV$2,IF(Q12=Data!$BK$18,Data!$JW$2, IF(Q12=Data!$BK$19,Data!$JX$2, IF(Q12=Data!$BK$20,Data!$JY$2, IF(Q12=Data!$BK$21,Data!$JN$2, IF(Q12=Data!$BK$22,Data!$JN$2, IF(Q12=Data!$BK$23,Data!$JN$2, IF(Q12=Data!$BK$24,Data!$JL$19))))))))))))))))))))))</f>
        <v>0</v>
      </c>
      <c r="DO12" s="55" t="str">
        <f>Data!$JH$19</f>
        <v>LRFrameAir</v>
      </c>
      <c r="DP12" s="55" t="b">
        <f>IF(G12=Data!$JH$18,'Shutters Page 2'!DO12,'Shutters Page 2'!DN12)</f>
        <v>0</v>
      </c>
      <c r="DR12" s="174" t="str">
        <f t="shared" si="58"/>
        <v/>
      </c>
      <c r="DS12" s="174" t="e">
        <f t="shared" si="59"/>
        <v>#N/A</v>
      </c>
      <c r="DT12" s="174" t="str">
        <f t="shared" si="35"/>
        <v>OK</v>
      </c>
      <c r="DU12" s="174" t="str">
        <f t="shared" si="36"/>
        <v>OK</v>
      </c>
      <c r="DV12" s="174" t="str">
        <f t="shared" si="37"/>
        <v>OK</v>
      </c>
      <c r="DW12" s="174" t="str">
        <f t="shared" si="38"/>
        <v>OK</v>
      </c>
      <c r="DX12" s="66" t="b">
        <f>IF(N12=Data!$LW$2,Data!$LX$1,IF(N12=Data!$LW$3,Data!$LY$1,IF(N12=Data!$LW$4,Data!$LZ$1,IF(N12=Data!$LW$5,Data!$MA$1,IF(N12=Data!$LW$6,Data!$MB$1,IF(N12=Data!$LW$7,Data!$MC$1, IF(N12=Data!$LW$8,Data!$MX$1)))))))</f>
        <v>0</v>
      </c>
      <c r="DY12" s="66" t="b">
        <f>IF(N12=Data!$LW$2,Data!$LX$147,IF(N12=Data!$LW$7,Data!$MC$1))</f>
        <v>0</v>
      </c>
      <c r="DZ12" s="66" t="b">
        <f>IF(G12=Data!$BC$3,'Shutters Page 2'!DX12,IF(G12=Data!$BC$5,'Shutters Page 2'!DY12))</f>
        <v>0</v>
      </c>
      <c r="EA12" s="66" t="b">
        <f>IF(E12=Data!$MD$2,Data!$ME$2, IF(E12=Data!$MD$3,Data!$MF$2, IF(E12=Data!$MD$4,Data!$MG$2)))</f>
        <v>0</v>
      </c>
      <c r="EB12" s="162" t="str">
        <f>IF(E12="MS",Data!$AK$1,IF(G12=Data!$BC$5,Data!$EJ$40,IF(G12=Data!$BC$4,Data!$EJ$20,Data!$EJ$2)))</f>
        <v>Special_Window_Timber</v>
      </c>
      <c r="EC12" s="66" t="str">
        <f>IF(OR(AND(T12="",Q12&lt;&gt;"")),VLOOKUP(Q12,Data!$FC$2:$FD$18,2,FALSE),"")</f>
        <v/>
      </c>
      <c r="ED12" s="66" t="str">
        <f>IF(OR(AND(U12="",Q12&lt;&gt;"")),VLOOKUP(Q12,Data!$FC$2:$FD$18,2,FALSE),"")</f>
        <v/>
      </c>
      <c r="EE12" s="66" t="str">
        <f>IF(OR(AND(V12="",Q12&lt;&gt;"")),VLOOKUP(Q12,Data!$FC$2:$FD$18,2,FALSE),"")</f>
        <v/>
      </c>
      <c r="EF12" s="162" t="e">
        <f>VLOOKUP(N12,Data!$MK$2:$ML$8,2,FALSE)</f>
        <v>#N/A</v>
      </c>
      <c r="EG12" s="66" t="e">
        <f>VLOOKUP(P12,Data!$DO$4:$DO$158,1,FALSE)</f>
        <v>#N/A</v>
      </c>
      <c r="EH12" s="66" t="e">
        <f t="shared" si="39"/>
        <v>#N/A</v>
      </c>
      <c r="EI12" s="55" t="str">
        <f t="shared" si="40"/>
        <v/>
      </c>
      <c r="EJ12" s="162" t="str">
        <f t="shared" si="41"/>
        <v>OK</v>
      </c>
      <c r="EK12" s="405" t="str">
        <f>Data!$JI$19</f>
        <v>TopBottomFrameAir</v>
      </c>
      <c r="EL12" s="405" t="b">
        <f>IF(G12=Data!$JH$18,EK12,EM12)</f>
        <v>0</v>
      </c>
      <c r="EM12" s="174" t="b">
        <f>IF(Q12=Data!$NN$3,Data!$NO$2, IF(Q12=Data!$NN$4,Data!$NP$2, IF(Q12=Data!$NN$5,Data!$NQ$2, IF(Q12=Data!$NN$6,Data!$NR$2, IF(Q12=Data!$NN$7,Data!$NS$2, IF(Q12=Data!$NN$8,Data!$NT$2, IF(Q12=Data!$NN$9,Data!$NU$2, IF(Q12=Data!$NN$10,Data!$NV$2, IF(Q12=Data!$NN$11,Data!$NW$2, IF(Q12=Data!$NN$12,Data!$NX$2, IF(Q12=Data!$NN$13,Data!$NY$2, IF(Q12=Data!$NN$14,Data!$NZ$2, IF(Q12=Data!$NN$15,Data!$OA$2, IF(Q12=Data!$NN$16,Data!$OB$2, IF(Q12=Data!$NN$17,Data!$OC$2, IF(Q12=Data!$NN$18,Data!$OD$2, IF(Q12=Data!$NN$19,Data!$OE$2, IF(Q12=Data!$NN$20,Data!$OG$2, IF(Q12=Data!$NN$25,Data!$NT$2, IF(Q12=Data!$NN$26,Data!$NT$2, IF(Q12=Data!$NN$27,Data!$NT$2, IF(Q12=Data!$NN$28,Data!$OH$2))))))))))))))))))))))</f>
        <v>0</v>
      </c>
      <c r="EN12" s="174" t="b">
        <f>IF(O12=$EN$7,Data!$OD$15,'Shutters Page 2'!EO12)</f>
        <v>0</v>
      </c>
      <c r="EO12" s="174" t="b">
        <f>IF(Q12=Data!$NN$3,Data!$NO$15,IF(Q12=Data!$NN$4,Data!$NP$15,IF(Q12=Data!$NN$5,Data!$NQ$15,IF(Q12=Data!$NN$6,Data!$NR$15,IF(Q12=Data!$NN$7,Data!$NS$15,IF(Q12=Data!$NN$8,Data!$NT$15,IF(Q12=Data!$NN$9,Data!$NU$15,IF(Q12=Data!$NN$10,Data!$NV$15,IF(Q12=Data!$NN$11,Data!$NW$15,IF(Q12=Data!$NN$12,Data!$NX$15,IF(Q12=Data!$NN$13,Data!$NY$15,IF(Q12=Data!$NN$14,Data!$NZ$15,IF(N12=Data!$NN$22,Data!$OA$15,IF(N12=Data!$NN$23,Data!$OB$15,IF(Q12=Data!$NN$19,Data!$OC$15, IF(Q12=Data!$NN$20,Data!$OG$15,IF(Q12=Data!$NN$25,Data!$NT$15,IF(Q12=Data!$NN$26,Data!$NT$15,IF(Q12=Data!$NN$27,Data!$NT$15,IF(Q12=Data!$NN$28,Data!$OH$15))))))))))))))))))))</f>
        <v>0</v>
      </c>
      <c r="EP12" s="406" t="str">
        <f>Data!$JI$19</f>
        <v>TopBottomFrameAir</v>
      </c>
      <c r="EQ12" s="406" t="b">
        <f>IF(G12=Data!$JH$18,EP12,EN12)</f>
        <v>0</v>
      </c>
      <c r="ER12" s="351" t="e">
        <f>MATCH(G12,Data!$CW$10:$CW$14,0)</f>
        <v>#N/A</v>
      </c>
      <c r="ES12" s="174" t="e">
        <f>MATCH(J12,Data!$CX$9:$DA$9,0)</f>
        <v>#N/A</v>
      </c>
      <c r="ET12" s="355" t="e">
        <f>INDEX(Data!$CX$10:$DA$14,'Shutters Page 2'!ER12,'Shutters Page 2'!ES12)</f>
        <v>#N/A</v>
      </c>
      <c r="EU12" s="355" t="e">
        <f>VLOOKUP(H12,Data!$BD$81:$BE$115,2,FALSE)</f>
        <v>#N/A</v>
      </c>
      <c r="EV12" s="355" t="e">
        <f>IF(EU12=Data!$BB$80,Data!$CW$20,'Shutters Page 2'!ET12)</f>
        <v>#N/A</v>
      </c>
      <c r="EW12" s="174" t="str">
        <f>IF(SUM(--ISNUMBER(SEARCH({"combo","Combo","COMBO"}, B29))),"Yes","No")</f>
        <v>No</v>
      </c>
      <c r="EX12" s="174" t="str">
        <f>IF(SUM(--ISNUMBER(SEARCH({"combo","Combo","COMBO"}, F29))),"Yes","No")</f>
        <v>No</v>
      </c>
      <c r="EY12" s="174" t="str">
        <f t="shared" si="60"/>
        <v>No</v>
      </c>
      <c r="EZ12" s="162">
        <f t="shared" si="42"/>
        <v>1</v>
      </c>
      <c r="FA12" s="162" t="e">
        <f t="shared" si="43"/>
        <v>#DIV/0!</v>
      </c>
      <c r="FB12" s="174" t="str">
        <f t="shared" si="44"/>
        <v/>
      </c>
      <c r="FC12" s="351" t="str">
        <f t="shared" si="45"/>
        <v/>
      </c>
      <c r="FD12" s="351" t="str">
        <f t="shared" si="46"/>
        <v/>
      </c>
      <c r="FE12" s="174" t="str">
        <f t="shared" si="47"/>
        <v/>
      </c>
      <c r="FF12" s="174" t="str">
        <f t="shared" si="48"/>
        <v/>
      </c>
      <c r="FG12" s="174" t="str">
        <f t="shared" si="49"/>
        <v/>
      </c>
      <c r="FH12" s="278" t="str">
        <f t="shared" si="61"/>
        <v>No</v>
      </c>
      <c r="FI12" s="351" t="e">
        <f>MATCH(G12,Data!$FH$18:$FL$18,0)</f>
        <v>#N/A</v>
      </c>
      <c r="FJ12" s="174" t="e">
        <f>MATCH(N12,Data!$FG$19:$FG$25,0)</f>
        <v>#N/A</v>
      </c>
      <c r="FK12" s="351" t="e">
        <f>INDEX(Data!$FH$19:$FL$25,'Shutters Page 2'!FJ12,'Shutters Page 2'!FI12)</f>
        <v>#N/A</v>
      </c>
      <c r="FL12" s="411" t="e">
        <f>MATCH(G12,Data!$FH$53:$FI$53,0)</f>
        <v>#N/A</v>
      </c>
      <c r="FM12" s="411" t="e">
        <f>MATCH(N12,Data!$FG$54:$FG$60,0)</f>
        <v>#N/A</v>
      </c>
      <c r="FN12" s="411" t="e">
        <f>INDEX(Data!$FH$54:$FI$60,'Shutters Page 2'!FM12,'Shutters Page 2'!FL12)</f>
        <v>#N/A</v>
      </c>
      <c r="FO12" s="411" t="e">
        <f>IF(E12=Data!$FH$35,'Shutters Page 2'!FN12,'Shutters Page 2'!FK12)</f>
        <v>#N/A</v>
      </c>
      <c r="FP12" s="351" t="e">
        <f>MATCH(G12,Data!$ME$26:$MG$26,0)</f>
        <v>#N/A</v>
      </c>
      <c r="FQ12" s="174" t="e">
        <f>MATCH(E12,Data!$MD$27:$MD$29,0)</f>
        <v>#N/A</v>
      </c>
      <c r="FR12" s="351" t="e">
        <f>INDEX(Data!$ME$27:$MG$29, 'Shutters Page 2'!FQ12, 'Shutters Page 2'!FP12)</f>
        <v>#N/A</v>
      </c>
      <c r="FS12" s="351" t="e">
        <f>MATCH(G12,Data!$AAF$1:$AAH$1,0)</f>
        <v>#N/A</v>
      </c>
      <c r="FT12" s="174" t="e">
        <f>MATCH(N12,Data!$AAE$2:$AAE$8,0)</f>
        <v>#N/A</v>
      </c>
      <c r="FU12" s="351" t="e">
        <f>INDEX(Data!$AAF$2:$AAH$8, 'Shutters Page 2'!FT12, 'Shutters Page 2'!FS12)</f>
        <v>#N/A</v>
      </c>
      <c r="FV12" s="351" t="e">
        <f>MATCH(G12,Data!$AAF$12:$AAH$12,0)</f>
        <v>#N/A</v>
      </c>
      <c r="FW12" s="174" t="e">
        <f>MATCH(N12,Data!$AAE$13:$AAE$19,0)</f>
        <v>#N/A</v>
      </c>
      <c r="FX12" s="351" t="e">
        <f>INDEX(Data!$AAF$13:$AAH$19, 'Shutters Page 2'!FW12, 'Shutters Page 2'!FV12)</f>
        <v>#N/A</v>
      </c>
      <c r="FY12" s="351" t="e">
        <f>MATCH(G12,Data!$AAK$1:$AAM$1,0)</f>
        <v>#N/A</v>
      </c>
      <c r="FZ12" s="174" t="e">
        <f>MATCH(Q12,Data!$AAJ$2,0)</f>
        <v>#N/A</v>
      </c>
      <c r="GA12" s="351" t="e">
        <f>INDEX(Data!$AAK$2:$AAM$2, 'Shutters Page 2'!FZ12, 'Shutters Page 2'!FY12)</f>
        <v>#N/A</v>
      </c>
      <c r="GB12" s="351" t="e">
        <f>MATCH(G12,Data!$AAK$12:$AAM$12,0)</f>
        <v>#N/A</v>
      </c>
      <c r="GC12" s="174" t="e">
        <f>MATCH(Q12,Data!$AAJ$13,0)</f>
        <v>#N/A</v>
      </c>
      <c r="GD12" s="351" t="e">
        <f>INDEX(Data!$AAK$13:$AAM$13, 'Shutters Page 2'!GC12, 'Shutters Page 2'!GB12)</f>
        <v>#N/A</v>
      </c>
      <c r="GE12" s="162" t="e">
        <f>VLOOKUP(H12,Data!$AAR$1:$AAS$35,2,FALSE)</f>
        <v>#N/A</v>
      </c>
      <c r="GF12" s="162" t="e">
        <f t="shared" si="50"/>
        <v>#N/A</v>
      </c>
      <c r="GG12" s="162" t="e">
        <f t="shared" si="51"/>
        <v>#N/A</v>
      </c>
      <c r="GH12" s="162" t="e">
        <f t="shared" si="52"/>
        <v>#N/A</v>
      </c>
      <c r="GI12" s="162" t="str">
        <f>IF(G12=Data!$NC$1,Data!$ND$1,Data!$NE$1)</f>
        <v>FauxwoodStile</v>
      </c>
      <c r="GJ12" s="55">
        <f>MAX(GJ9:GJ11)</f>
        <v>0</v>
      </c>
      <c r="GL12" s="55" t="e">
        <f>VLOOKUP('Shutters Page 2'!H12,Data!$BD$81:$BE$115,2,FALSE)</f>
        <v>#N/A</v>
      </c>
      <c r="GM12" s="55" t="e">
        <f>IF(GL12=Data!$BB$80,"Yes", "No")</f>
        <v>#N/A</v>
      </c>
      <c r="GN12" s="55" t="e">
        <f>IF(GM12="Yes",Data!$EJ$57,'Shutters Page 2'!EB12)</f>
        <v>#N/A</v>
      </c>
      <c r="GQ12" s="55" t="b">
        <f>IF(G12=$GQ$6,Data!$EN$47,IF(G12='Shutters Page 2'!$GQ$7,Data!$EM$47))</f>
        <v>0</v>
      </c>
    </row>
    <row r="13" spans="1:199" ht="36.75" customHeight="1">
      <c r="A13" s="53">
        <v>5</v>
      </c>
      <c r="B13" s="17"/>
      <c r="C13" s="14"/>
      <c r="D13" s="14"/>
      <c r="E13" s="14"/>
      <c r="F13" s="10"/>
      <c r="G13" s="13"/>
      <c r="H13" s="555"/>
      <c r="I13" s="603"/>
      <c r="J13" s="14"/>
      <c r="K13" s="149" t="str">
        <f t="shared" si="0"/>
        <v/>
      </c>
      <c r="L13" s="15"/>
      <c r="M13" s="15"/>
      <c r="N13" s="15"/>
      <c r="O13" s="15"/>
      <c r="P13" s="15"/>
      <c r="Q13" s="486"/>
      <c r="R13" s="486"/>
      <c r="S13" s="13"/>
      <c r="T13" s="13"/>
      <c r="U13" s="13"/>
      <c r="V13" s="13"/>
      <c r="W13" s="15"/>
      <c r="X13" s="15"/>
      <c r="Y13" s="16"/>
      <c r="Z13" s="16"/>
      <c r="AA13" s="14"/>
      <c r="AB13" s="14"/>
      <c r="AC13" s="14"/>
      <c r="AD13" s="386"/>
      <c r="AE13" s="169" t="str">
        <f t="shared" si="1"/>
        <v/>
      </c>
      <c r="AF13" s="236"/>
      <c r="AG13" s="237"/>
      <c r="AI13" s="55">
        <f t="shared" si="2"/>
        <v>0</v>
      </c>
      <c r="AJ13" s="55">
        <f t="shared" si="3"/>
        <v>0</v>
      </c>
      <c r="AK13" s="55">
        <f>IF(P13&lt;&gt;"",VLOOKUP(P13,Data!$AAY$2:$AAZ$44,2,FALSE),0)</f>
        <v>0</v>
      </c>
      <c r="AL13" s="55" t="str">
        <f>IF(E13=Data!$BB$10,Data!$BC$10,Data!$BC$2)</f>
        <v>ShutterMaterial</v>
      </c>
      <c r="AP13" s="55" t="str">
        <f t="shared" si="53"/>
        <v>SlidingSystemNA</v>
      </c>
      <c r="AV13" s="114" t="str">
        <f t="shared" si="4"/>
        <v/>
      </c>
      <c r="AW13" s="66" t="e">
        <f t="shared" si="5"/>
        <v>#N/A</v>
      </c>
      <c r="AX13" s="174" t="e">
        <f>VLOOKUP(Q13,Data!$MI$2:$MJ$4,2,FALSE)</f>
        <v>#N/A</v>
      </c>
      <c r="AY13" s="174" t="e">
        <f t="shared" si="6"/>
        <v>#N/A</v>
      </c>
      <c r="AZ13" s="174" t="e">
        <f>VLOOKUP(N13,Data!$BI$24:$BJ$30,2,FALSE)</f>
        <v>#N/A</v>
      </c>
      <c r="BA13" s="160" t="b">
        <f>IF(G13=Data!$BO$2,Data!$BS$2, IF('Shutters Page 2'!G13=Data!$BP$2,Data!$BT$2, IF('Shutters Page 2'!G13=Data!$BQ$2,Data!$BU$2)))</f>
        <v>0</v>
      </c>
      <c r="BB13" s="361" t="str">
        <f t="shared" si="7"/>
        <v>No</v>
      </c>
      <c r="BC13" s="160" t="e">
        <f t="shared" si="8"/>
        <v>#DIV/0!</v>
      </c>
      <c r="BD13" s="361" t="e">
        <f t="shared" si="9"/>
        <v>#DIV/0!</v>
      </c>
      <c r="BE13" s="160" t="e">
        <f t="shared" si="10"/>
        <v>#DIV/0!</v>
      </c>
      <c r="BF13" s="361" t="str">
        <f t="shared" si="11"/>
        <v>No</v>
      </c>
      <c r="BG13" s="160" t="str">
        <f t="shared" si="12"/>
        <v>NotRequired</v>
      </c>
      <c r="BH13" s="160" t="b">
        <f>IF(G13=Data!$BO$2,Data!$CM$2, IF('Shutters Page 2'!G13=Data!$BP$2,Data!$CN$2, IF('Shutters Page 2'!G13=Data!$BQ$2,Data!$CO$2)))</f>
        <v>0</v>
      </c>
      <c r="BI13" s="160" t="e">
        <f t="shared" si="54"/>
        <v>#DIV/0!</v>
      </c>
      <c r="BJ13" s="161" t="str">
        <f t="shared" si="13"/>
        <v>NoHighlight</v>
      </c>
      <c r="BK13" s="361" t="str">
        <f t="shared" si="14"/>
        <v>FauxwoodRPNo</v>
      </c>
      <c r="BL13" s="161" t="str">
        <f>IF(SUM(--ISNUMBER( SEARCH({"t","T"},P13))),"Yes","No")</f>
        <v>No</v>
      </c>
      <c r="BM13" s="161" t="str">
        <f t="shared" si="15"/>
        <v>OK</v>
      </c>
      <c r="BN13" s="161" t="str">
        <f t="shared" si="16"/>
        <v>OK</v>
      </c>
      <c r="BO13" s="161" t="str">
        <f t="shared" si="17"/>
        <v>OK</v>
      </c>
      <c r="BP13" s="161" t="e">
        <f>IF(OR(AND(F13&gt;1,#REF!="L",#REF!="l"),AND(F13&gt;1,#REF!="R",#REF!="r"),AND(F13&gt;2,#REF!="LR",#REF!="lr")), "Error","OK")</f>
        <v>#REF!</v>
      </c>
      <c r="BQ13" s="161" t="str">
        <f t="shared" si="18"/>
        <v>FauxwoodAINo</v>
      </c>
      <c r="BR13" s="161" t="str">
        <f>IF(SUM(--ISNUMBER(SEARCH({"combo","Combo","COMBO"}, B30))),"Yes","No")</f>
        <v>No</v>
      </c>
      <c r="BS13" s="161" t="str">
        <f t="shared" si="55"/>
        <v>No</v>
      </c>
      <c r="BT13" s="161" t="str">
        <f>IF(SUM(--ISNUMBER( SEARCH({"c","C","b","B"},#REF!))),"Yes","No")</f>
        <v>No</v>
      </c>
      <c r="BU13" s="162">
        <f t="shared" si="19"/>
        <v>0</v>
      </c>
      <c r="BV13" s="174" t="str">
        <f>IF(N13=Data!$BI$3,Data!$DR$3,IF(N13=Data!$BI$4,Data!$DS$3,IF(N13=Data!$BI$5,Data!$DT$3,IF(N13=Data!$BI$6,Data!$DU$3,IF(N13=Data!$BI$7,Data!$DV$3, IF(N13=Data!$BI$8,Data!$DX$3, IF(N13=Data!$BI$9,Data!$DW$3, "")))))))</f>
        <v/>
      </c>
      <c r="BW13" s="174" t="str">
        <f>IF(N13=Data!$BI$3,Data!$DY$3,IF(N13=Data!$BI$4,Data!$DZ$3,IF(N13=Data!$BI$5,Data!$EA$3,IF(N13=Data!$BI$6,Data!$EB$3,IF(N13=Data!$BI$7,Data!$EC$3,IF(N13=Data!$BI$8,Data!$EE$3, IF(N13=Data!$BI$9,Data!$ED$3,"")))))))</f>
        <v/>
      </c>
      <c r="BX13" s="162">
        <f t="shared" si="20"/>
        <v>0</v>
      </c>
      <c r="BY13" s="162">
        <f t="shared" si="21"/>
        <v>0</v>
      </c>
      <c r="BZ13" s="174" t="e">
        <f t="shared" si="22"/>
        <v>#DIV/0!</v>
      </c>
      <c r="CA13" s="351" t="b">
        <f>IF(G13=Data!$EU$2,Data!$ES$2,IF(G13=Data!$EU$3,Data!$ER$2, IF(G13=Data!$EU$5,Data!$ET$2, IF(G13=Data!$EU$4,Data!$EQ$2,IF(G13=Data!$EU$6,Data!$ER$2)))))</f>
        <v>0</v>
      </c>
      <c r="CB13" s="351" t="b">
        <f>IF(G13=Data!$EU$2,Data!$EW$2,IF(G13=Data!$EU$3,Data!$EX$2,IF(G13=Data!$EU$4,Data!$EY$2, IF(G13=Data!$EU$5,Data!$EY$2,IF(G13=Data!$EU$6,Data!$EX$2)))))</f>
        <v>0</v>
      </c>
      <c r="CC13" s="174" t="e">
        <f>VLOOKUP(M13,Data!$EJ$3:$EK$15,2,FALSE)</f>
        <v>#N/A</v>
      </c>
      <c r="CD13" s="174" t="str">
        <f>IF(J13="114mm",VLOOKUP(H13,Data!$FA$2:$FB$18,2,FALSE),"OK")</f>
        <v>OK</v>
      </c>
      <c r="CE13" s="174" t="e">
        <f t="shared" si="23"/>
        <v>#DIV/0!</v>
      </c>
      <c r="CF13" s="174" t="str">
        <f>IF(OR(AND(S13="",Q13&lt;&gt;"")),VLOOKUP(Q13,Data!$FC$2:$FD$19,2,FALSE),"")</f>
        <v/>
      </c>
      <c r="CG13" s="174" t="str">
        <f>IF(N13=Data!$BI$3,Data!$FJ$1,IF(N13=Data!$BI$4,Data!$FK$1,IF(N13=Data!$BI$5,Data!$FL$1,IF(N13=Data!$BI$6,Data!$FM$1,IF(N13=Data!$BI$7,Data!$FN$1, IF(N13=Data!$BI$8,Data!$FO$1, IF(N13=Data!$BI$9,Data!$FI$1, "")))))))</f>
        <v/>
      </c>
      <c r="CH13" s="174" t="str">
        <f>IF(SUM(--ISNUMBER(SEARCH({"z","Z"}, Q13))),"Yes","No")</f>
        <v>No</v>
      </c>
      <c r="CI13" s="174" t="str">
        <f t="shared" si="24"/>
        <v>OK</v>
      </c>
      <c r="CJ13" s="174">
        <f t="shared" si="25"/>
        <v>0</v>
      </c>
      <c r="CK13" s="174" t="e">
        <f>VLOOKUP(P13,Data!$DO$4:$DP$157,2,FALSE)</f>
        <v>#N/A</v>
      </c>
      <c r="CL13" s="174" t="e">
        <f t="shared" si="26"/>
        <v>#N/A</v>
      </c>
      <c r="CM13" s="162"/>
      <c r="CN13" s="162"/>
      <c r="CO13" s="162" t="str">
        <f>CO9&amp;"   "&amp;CO10&amp;"   "&amp;CO11&amp;"   "&amp;CO12</f>
        <v xml:space="preserve">         </v>
      </c>
      <c r="CP13" s="366" t="str">
        <f t="shared" si="27"/>
        <v>OK</v>
      </c>
      <c r="CQ13" s="174" t="b">
        <f t="shared" si="28"/>
        <v>0</v>
      </c>
      <c r="CR13" s="174">
        <f t="shared" si="29"/>
        <v>0</v>
      </c>
      <c r="CS13" s="174">
        <f t="shared" si="30"/>
        <v>1</v>
      </c>
      <c r="CT13" s="174">
        <f t="shared" si="56"/>
        <v>0</v>
      </c>
      <c r="CU13" s="162" t="e">
        <f t="shared" si="31"/>
        <v>#DIV/0!</v>
      </c>
      <c r="CV13" s="162" t="e">
        <f>VLOOKUP(H13,Data!$BD$81:$BE$111,2,FALSE)</f>
        <v>#N/A</v>
      </c>
      <c r="CW13" s="174" t="str">
        <f t="shared" si="32"/>
        <v/>
      </c>
      <c r="CX13" s="292" t="str">
        <f>IF(H13=Data!$BE$3,Data!$HQ$2, IF(H13=Data!$BE$4,Data!$HP$2, IF(H13=Data!$BE$5,Data!$HR$2, IF(H13=Data!$BE$6,Data!$HO$2))))</f>
        <v>Super WhiteNA</v>
      </c>
      <c r="CY13" s="351" t="b">
        <f>IF(H13=Data!$BH$3,Data!$HU$2, IF(H13=Data!$BH$4,Data!$HT$2, IF(H13=Data!$BH$5,Data!$HS$2)))</f>
        <v>0</v>
      </c>
      <c r="CZ13" s="351" t="b">
        <f>IF(H13=Data!$BF$3,Data!$HQ$16, IF(H13=Data!$BF$4,Data!$HP$16, IF(H13=Data!$BF$5,Data!$HR$16, IF(H13=Data!$BF$6,Data!$HO$16))))</f>
        <v>0</v>
      </c>
      <c r="DA13" s="351" t="b">
        <f>IF(G13=Data!$BC$3,'Shutters Page 2'!CW13,IF(G13=Data!$BC$4,'Shutters Page 2'!CX13,IF(G13=Data!$BC$6,'Shutters Page 2'!CY13, IF(G13=Data!$BC$5, 'Shutters Page 2'!CX13,IF(G13=Data!$BC$7,'Shutters Page 2'!CX13)))))</f>
        <v>0</v>
      </c>
      <c r="DB13" s="162" t="e">
        <f>IF(OR(AND(L13&gt;0,#REF!="")), "Error","OK")</f>
        <v>#REF!</v>
      </c>
      <c r="DC13" s="174" t="e">
        <f>IF(COUNTIF(#REF!,Data!$CX$6),"Yes","")</f>
        <v>#REF!</v>
      </c>
      <c r="DD13" s="55" t="str">
        <f t="shared" si="33"/>
        <v/>
      </c>
      <c r="DG13" s="55" t="str">
        <f>IF(N13=Data!$BI$5,"Yes",IF(N13=Data!$BI$6,"Yes","No"))</f>
        <v>No</v>
      </c>
      <c r="DH13" s="66" t="b">
        <f>IF(N13=Data!$BI$3,Data!$JB$2,IF(N13=Data!$BI$4,Data!$JC$2,IF(N13=Data!$BI$5,Data!$JD$2,IF(N13=Data!$BI$6,DI13,IF(N13=Data!$BI$7,Data!$JF$2, IF(N13=Data!$BI$8,Data!$JA$2, IF(N13=Data!$BI$9,Data!$JG$2)))))))</f>
        <v>0</v>
      </c>
      <c r="DI13" s="55" t="e">
        <f>VLOOKUP(P13,Data!$AAY$2:$ABA$44,3,FALSE)</f>
        <v>#N/A</v>
      </c>
      <c r="DK13" s="66" t="e">
        <f>VLOOKUP(P13,Data!$DO$4:$DQ$157,3,FALSE)</f>
        <v>#N/A</v>
      </c>
      <c r="DL13" s="55" t="e">
        <f t="shared" si="34"/>
        <v>#N/A</v>
      </c>
      <c r="DM13" s="55" t="e">
        <f t="shared" si="57"/>
        <v>#N/A</v>
      </c>
      <c r="DN13" s="162" t="b">
        <f>IF(Q13=Data!$BK$3,Data!$JH$2,IF(Q13=Data!$BK$4,Data!$JI$2,IF(Q13=Data!$BK$5,Data!$JJ$2,IF(Q13=Data!$BK$6,Data!$JK$2,IF(Q13=Data!$BK$7,Data!$JL$2,IF(Q13=Data!$BK$8,Data!$JM$2,IF(Q13=Data!$BK$9,Data!$JN$2,IF(Q13=Data!$BK$10,Data!$JO$2,IF(Q13=Data!$BK$11,Data!$JP$2,IF(Q13=Data!$BK$12,Data!$JQ$2,IF(Q13=Data!$BK$13,Data!$JR$2,IF(Q13=Data!$BK$14,Data!$JS$2,IF(Q13=Data!$BK$15,Data!$JT$2,IF(Q13=Data!$BK$16,Data!$JU$2,IF(Q13=Data!$BK$17,Data!$JV$2,IF(Q13=Data!$BK$18,Data!$JW$2, IF(Q13=Data!$BK$19,Data!$JX$2, IF(Q13=Data!$BK$20,Data!$JY$2, IF(Q13=Data!$BK$21,Data!$JN$2, IF(Q13=Data!$BK$22,Data!$JN$2, IF(Q13=Data!$BK$23,Data!$JN$2, IF(Q13=Data!$BK$24,Data!$JL$19))))))))))))))))))))))</f>
        <v>0</v>
      </c>
      <c r="DO13" s="55" t="str">
        <f>Data!$JH$19</f>
        <v>LRFrameAir</v>
      </c>
      <c r="DP13" s="55" t="b">
        <f>IF(G13=Data!$JH$18,'Shutters Page 2'!DO13,'Shutters Page 2'!DN13)</f>
        <v>0</v>
      </c>
      <c r="DR13" s="174" t="str">
        <f t="shared" si="58"/>
        <v/>
      </c>
      <c r="DS13" s="174" t="e">
        <f t="shared" si="59"/>
        <v>#N/A</v>
      </c>
      <c r="DT13" s="174" t="str">
        <f t="shared" si="35"/>
        <v>OK</v>
      </c>
      <c r="DU13" s="174" t="str">
        <f t="shared" si="36"/>
        <v>OK</v>
      </c>
      <c r="DV13" s="174" t="str">
        <f t="shared" si="37"/>
        <v>OK</v>
      </c>
      <c r="DW13" s="174" t="str">
        <f t="shared" si="38"/>
        <v>OK</v>
      </c>
      <c r="DX13" s="66" t="b">
        <f>IF(N13=Data!$LW$2,Data!$LX$1,IF(N13=Data!$LW$3,Data!$LY$1,IF(N13=Data!$LW$4,Data!$LZ$1,IF(N13=Data!$LW$5,Data!$MA$1,IF(N13=Data!$LW$6,Data!$MB$1,IF(N13=Data!$LW$7,Data!$MC$1, IF(N13=Data!$LW$8,Data!$MX$1)))))))</f>
        <v>0</v>
      </c>
      <c r="DY13" s="66" t="b">
        <f>IF(N13=Data!$LW$2,Data!$LX$147,IF(N13=Data!$LW$7,Data!$MC$1))</f>
        <v>0</v>
      </c>
      <c r="DZ13" s="66" t="b">
        <f>IF(G13=Data!$BC$3,'Shutters Page 2'!DX13,IF(G13=Data!$BC$5,'Shutters Page 2'!DY13))</f>
        <v>0</v>
      </c>
      <c r="EA13" s="66" t="b">
        <f>IF(E13=Data!$MD$2,Data!$ME$2, IF(E13=Data!$MD$3,Data!$MF$2, IF(E13=Data!$MD$4,Data!$MG$2)))</f>
        <v>0</v>
      </c>
      <c r="EB13" s="162" t="str">
        <f>IF(E13="MS",Data!$AK$1,IF(G13=Data!$BC$5,Data!$EJ$40,IF(G13=Data!$BC$4,Data!$EJ$20,Data!$EJ$2)))</f>
        <v>Special_Window_Timber</v>
      </c>
      <c r="EC13" s="66" t="str">
        <f>IF(OR(AND(T13="",Q13&lt;&gt;"")),VLOOKUP(Q13,Data!$FC$2:$FD$18,2,FALSE),"")</f>
        <v/>
      </c>
      <c r="ED13" s="66" t="str">
        <f>IF(OR(AND(U13="",Q13&lt;&gt;"")),VLOOKUP(Q13,Data!$FC$2:$FD$18,2,FALSE),"")</f>
        <v/>
      </c>
      <c r="EE13" s="66" t="str">
        <f>IF(OR(AND(V13="",Q13&lt;&gt;"")),VLOOKUP(Q13,Data!$FC$2:$FD$18,2,FALSE),"")</f>
        <v/>
      </c>
      <c r="EF13" s="162" t="e">
        <f>VLOOKUP(N13,Data!$MK$2:$ML$8,2,FALSE)</f>
        <v>#N/A</v>
      </c>
      <c r="EG13" s="66" t="e">
        <f>VLOOKUP(P13,Data!$DO$4:$DO$158,1,FALSE)</f>
        <v>#N/A</v>
      </c>
      <c r="EH13" s="66" t="e">
        <f t="shared" si="39"/>
        <v>#N/A</v>
      </c>
      <c r="EI13" s="55" t="str">
        <f t="shared" si="40"/>
        <v/>
      </c>
      <c r="EJ13" s="162" t="str">
        <f t="shared" si="41"/>
        <v>OK</v>
      </c>
      <c r="EK13" s="405" t="str">
        <f>Data!$JI$19</f>
        <v>TopBottomFrameAir</v>
      </c>
      <c r="EL13" s="405" t="b">
        <f>IF(G13=Data!$JH$18,EK13,EM13)</f>
        <v>0</v>
      </c>
      <c r="EM13" s="174" t="b">
        <f>IF(Q13=Data!$NN$3,Data!$NO$2, IF(Q13=Data!$NN$4,Data!$NP$2, IF(Q13=Data!$NN$5,Data!$NQ$2, IF(Q13=Data!$NN$6,Data!$NR$2, IF(Q13=Data!$NN$7,Data!$NS$2, IF(Q13=Data!$NN$8,Data!$NT$2, IF(Q13=Data!$NN$9,Data!$NU$2, IF(Q13=Data!$NN$10,Data!$NV$2, IF(Q13=Data!$NN$11,Data!$NW$2, IF(Q13=Data!$NN$12,Data!$NX$2, IF(Q13=Data!$NN$13,Data!$NY$2, IF(Q13=Data!$NN$14,Data!$NZ$2, IF(Q13=Data!$NN$15,Data!$OA$2, IF(Q13=Data!$NN$16,Data!$OB$2, IF(Q13=Data!$NN$17,Data!$OC$2, IF(Q13=Data!$NN$18,Data!$OD$2, IF(Q13=Data!$NN$19,Data!$OE$2, IF(Q13=Data!$NN$20,Data!$OG$2, IF(Q13=Data!$NN$25,Data!$NT$2, IF(Q13=Data!$NN$26,Data!$NT$2, IF(Q13=Data!$NN$27,Data!$NT$2, IF(Q13=Data!$NN$28,Data!$OH$2))))))))))))))))))))))</f>
        <v>0</v>
      </c>
      <c r="EN13" s="174" t="b">
        <f>IF(O13=$EN$7,Data!$OD$15,'Shutters Page 2'!EO13)</f>
        <v>0</v>
      </c>
      <c r="EO13" s="174" t="b">
        <f>IF(Q13=Data!$NN$3,Data!$NO$15,IF(Q13=Data!$NN$4,Data!$NP$15,IF(Q13=Data!$NN$5,Data!$NQ$15,IF(Q13=Data!$NN$6,Data!$NR$15,IF(Q13=Data!$NN$7,Data!$NS$15,IF(Q13=Data!$NN$8,Data!$NT$15,IF(Q13=Data!$NN$9,Data!$NU$15,IF(Q13=Data!$NN$10,Data!$NV$15,IF(Q13=Data!$NN$11,Data!$NW$15,IF(Q13=Data!$NN$12,Data!$NX$15,IF(Q13=Data!$NN$13,Data!$NY$15,IF(Q13=Data!$NN$14,Data!$NZ$15,IF(N13=Data!$NN$22,Data!$OA$15,IF(N13=Data!$NN$23,Data!$OB$15,IF(Q13=Data!$NN$19,Data!$OC$15, IF(Q13=Data!$NN$20,Data!$OG$15,IF(Q13=Data!$NN$25,Data!$NT$15,IF(Q13=Data!$NN$26,Data!$NT$15,IF(Q13=Data!$NN$27,Data!$NT$15,IF(Q13=Data!$NN$28,Data!$OH$15))))))))))))))))))))</f>
        <v>0</v>
      </c>
      <c r="EP13" s="406" t="str">
        <f>Data!$JI$19</f>
        <v>TopBottomFrameAir</v>
      </c>
      <c r="EQ13" s="406" t="b">
        <f>IF(G13=Data!$JH$18,EP13,EN13)</f>
        <v>0</v>
      </c>
      <c r="ER13" s="351" t="e">
        <f>MATCH(G13,Data!$CW$10:$CW$14,0)</f>
        <v>#N/A</v>
      </c>
      <c r="ES13" s="174" t="e">
        <f>MATCH(J13,Data!$CX$9:$DA$9,0)</f>
        <v>#N/A</v>
      </c>
      <c r="ET13" s="355" t="e">
        <f>INDEX(Data!$CX$10:$DA$14,'Shutters Page 2'!ER13,'Shutters Page 2'!ES13)</f>
        <v>#N/A</v>
      </c>
      <c r="EU13" s="355" t="e">
        <f>VLOOKUP(H13,Data!$BD$81:$BE$115,2,FALSE)</f>
        <v>#N/A</v>
      </c>
      <c r="EV13" s="355" t="e">
        <f>IF(EU13=Data!$BB$80,Data!$CW$20,'Shutters Page 2'!ET13)</f>
        <v>#N/A</v>
      </c>
      <c r="EW13" s="174" t="str">
        <f>IF(SUM(--ISNUMBER(SEARCH({"combo","Combo","COMBO"}, B30))),"Yes","No")</f>
        <v>No</v>
      </c>
      <c r="EX13" s="174" t="str">
        <f>IF(SUM(--ISNUMBER(SEARCH({"combo","Combo","COMBO"}, F30))),"Yes","No")</f>
        <v>No</v>
      </c>
      <c r="EY13" s="174" t="str">
        <f t="shared" si="60"/>
        <v>No</v>
      </c>
      <c r="EZ13" s="162">
        <f t="shared" si="42"/>
        <v>1</v>
      </c>
      <c r="FA13" s="162" t="e">
        <f t="shared" si="43"/>
        <v>#DIV/0!</v>
      </c>
      <c r="FB13" s="174" t="str">
        <f t="shared" si="44"/>
        <v/>
      </c>
      <c r="FC13" s="351" t="str">
        <f t="shared" si="45"/>
        <v/>
      </c>
      <c r="FD13" s="351" t="str">
        <f t="shared" si="46"/>
        <v/>
      </c>
      <c r="FE13" s="174" t="str">
        <f t="shared" si="47"/>
        <v/>
      </c>
      <c r="FF13" s="174" t="str">
        <f t="shared" si="48"/>
        <v/>
      </c>
      <c r="FG13" s="174" t="str">
        <f t="shared" si="49"/>
        <v/>
      </c>
      <c r="FH13" s="278" t="str">
        <f t="shared" si="61"/>
        <v>No</v>
      </c>
      <c r="FI13" s="351" t="e">
        <f>MATCH(G13,Data!$FH$18:$FL$18,0)</f>
        <v>#N/A</v>
      </c>
      <c r="FJ13" s="174" t="e">
        <f>MATCH(N13,Data!$FG$19:$FG$25,0)</f>
        <v>#N/A</v>
      </c>
      <c r="FK13" s="351" t="e">
        <f>INDEX(Data!$FH$19:$FL$25,'Shutters Page 2'!FJ13,'Shutters Page 2'!FI13)</f>
        <v>#N/A</v>
      </c>
      <c r="FL13" s="411" t="e">
        <f>MATCH(G13,Data!$FH$53:$FI$53,0)</f>
        <v>#N/A</v>
      </c>
      <c r="FM13" s="411" t="e">
        <f>MATCH(N13,Data!$FG$54:$FG$60,0)</f>
        <v>#N/A</v>
      </c>
      <c r="FN13" s="411" t="e">
        <f>INDEX(Data!$FH$54:$FI$60,'Shutters Page 2'!FM13,'Shutters Page 2'!FL13)</f>
        <v>#N/A</v>
      </c>
      <c r="FO13" s="411" t="e">
        <f>IF(E13=Data!$FH$35,'Shutters Page 2'!FN13,'Shutters Page 2'!FK13)</f>
        <v>#N/A</v>
      </c>
      <c r="FP13" s="351" t="e">
        <f>MATCH(G13,Data!$ME$26:$MG$26,0)</f>
        <v>#N/A</v>
      </c>
      <c r="FQ13" s="174" t="e">
        <f>MATCH(E13,Data!$MD$27:$MD$29,0)</f>
        <v>#N/A</v>
      </c>
      <c r="FR13" s="351" t="e">
        <f>INDEX(Data!$ME$27:$MG$29, 'Shutters Page 2'!FQ13, 'Shutters Page 2'!FP13)</f>
        <v>#N/A</v>
      </c>
      <c r="FS13" s="351" t="e">
        <f>MATCH(G13,Data!$AAF$1:$AAH$1,0)</f>
        <v>#N/A</v>
      </c>
      <c r="FT13" s="174" t="e">
        <f>MATCH(N13,Data!$AAE$2:$AAE$8,0)</f>
        <v>#N/A</v>
      </c>
      <c r="FU13" s="351" t="e">
        <f>INDEX(Data!$AAF$2:$AAH$8, 'Shutters Page 2'!FT13, 'Shutters Page 2'!FS13)</f>
        <v>#N/A</v>
      </c>
      <c r="FV13" s="351" t="e">
        <f>MATCH(G13,Data!$AAF$12:$AAH$12,0)</f>
        <v>#N/A</v>
      </c>
      <c r="FW13" s="174" t="e">
        <f>MATCH(N13,Data!$AAE$13:$AAE$19,0)</f>
        <v>#N/A</v>
      </c>
      <c r="FX13" s="351" t="e">
        <f>INDEX(Data!$AAF$13:$AAH$19, 'Shutters Page 2'!FW13, 'Shutters Page 2'!FV13)</f>
        <v>#N/A</v>
      </c>
      <c r="FY13" s="351" t="e">
        <f>MATCH(G13,Data!$AAK$1:$AAM$1,0)</f>
        <v>#N/A</v>
      </c>
      <c r="FZ13" s="174" t="e">
        <f>MATCH(Q13,Data!$AAJ$2,0)</f>
        <v>#N/A</v>
      </c>
      <c r="GA13" s="351" t="e">
        <f>INDEX(Data!$AAK$2:$AAM$2, 'Shutters Page 2'!FZ13, 'Shutters Page 2'!FY13)</f>
        <v>#N/A</v>
      </c>
      <c r="GB13" s="351" t="e">
        <f>MATCH(G13,Data!$AAK$12:$AAM$12,0)</f>
        <v>#N/A</v>
      </c>
      <c r="GC13" s="174" t="e">
        <f>MATCH(Q13,Data!$AAJ$13,0)</f>
        <v>#N/A</v>
      </c>
      <c r="GD13" s="351" t="e">
        <f>INDEX(Data!$AAK$13:$AAM$13, 'Shutters Page 2'!GC13, 'Shutters Page 2'!GB13)</f>
        <v>#N/A</v>
      </c>
      <c r="GE13" s="162" t="e">
        <f>VLOOKUP(H13,Data!$AAR$1:$AAS$35,2,FALSE)</f>
        <v>#N/A</v>
      </c>
      <c r="GF13" s="162" t="e">
        <f t="shared" si="50"/>
        <v>#N/A</v>
      </c>
      <c r="GG13" s="162" t="e">
        <f t="shared" si="51"/>
        <v>#N/A</v>
      </c>
      <c r="GH13" s="162" t="e">
        <f t="shared" si="52"/>
        <v>#N/A</v>
      </c>
      <c r="GI13" s="162" t="str">
        <f>IF(G13=Data!$NC$1,Data!$ND$1,Data!$NE$1)</f>
        <v>FauxwoodStile</v>
      </c>
      <c r="GL13" s="55" t="e">
        <f>VLOOKUP('Shutters Page 2'!H13,Data!$BD$81:$BE$115,2,FALSE)</f>
        <v>#N/A</v>
      </c>
      <c r="GM13" s="55" t="e">
        <f>IF(GL13=Data!$BB$80,"Yes", "No")</f>
        <v>#N/A</v>
      </c>
      <c r="GN13" s="55" t="e">
        <f>IF(GM13="Yes",Data!$EJ$57,'Shutters Page 2'!EB13)</f>
        <v>#N/A</v>
      </c>
      <c r="GQ13" s="55" t="b">
        <f>IF(G13=$GQ$6,Data!$EN$47,IF(G13='Shutters Page 2'!$GQ$7,Data!$EM$47))</f>
        <v>0</v>
      </c>
    </row>
    <row r="14" spans="1:199" ht="36.75" customHeight="1">
      <c r="A14" s="53">
        <v>6</v>
      </c>
      <c r="B14" s="17"/>
      <c r="C14" s="14"/>
      <c r="D14" s="14"/>
      <c r="E14" s="14"/>
      <c r="F14" s="10"/>
      <c r="G14" s="13"/>
      <c r="H14" s="555"/>
      <c r="I14" s="603"/>
      <c r="J14" s="14"/>
      <c r="K14" s="149" t="str">
        <f t="shared" si="0"/>
        <v/>
      </c>
      <c r="L14" s="15"/>
      <c r="M14" s="15"/>
      <c r="N14" s="15"/>
      <c r="O14" s="15"/>
      <c r="P14" s="15"/>
      <c r="Q14" s="486"/>
      <c r="R14" s="486"/>
      <c r="S14" s="13"/>
      <c r="T14" s="13"/>
      <c r="U14" s="13"/>
      <c r="V14" s="13"/>
      <c r="W14" s="15"/>
      <c r="X14" s="15"/>
      <c r="Y14" s="16"/>
      <c r="Z14" s="16"/>
      <c r="AA14" s="14"/>
      <c r="AB14" s="14"/>
      <c r="AC14" s="14"/>
      <c r="AD14" s="386"/>
      <c r="AE14" s="169" t="str">
        <f t="shared" si="1"/>
        <v/>
      </c>
      <c r="AF14" s="236"/>
      <c r="AG14" s="237"/>
      <c r="AI14" s="55">
        <f t="shared" si="2"/>
        <v>0</v>
      </c>
      <c r="AJ14" s="55">
        <f t="shared" si="3"/>
        <v>0</v>
      </c>
      <c r="AK14" s="55">
        <f>IF(P14&lt;&gt;"",VLOOKUP(P14,Data!$AAY$2:$AAZ$44,2,FALSE),0)</f>
        <v>0</v>
      </c>
      <c r="AL14" s="55" t="str">
        <f>IF(E14=Data!$BB$10,Data!$BC$10,Data!$BC$2)</f>
        <v>ShutterMaterial</v>
      </c>
      <c r="AP14" s="55" t="str">
        <f t="shared" si="53"/>
        <v>SlidingSystemNA</v>
      </c>
      <c r="AV14" s="114" t="str">
        <f t="shared" si="4"/>
        <v/>
      </c>
      <c r="AW14" s="66" t="e">
        <f t="shared" si="5"/>
        <v>#N/A</v>
      </c>
      <c r="AX14" s="174" t="e">
        <f>VLOOKUP(Q14,Data!$MI$2:$MJ$4,2,FALSE)</f>
        <v>#N/A</v>
      </c>
      <c r="AY14" s="174" t="e">
        <f t="shared" si="6"/>
        <v>#N/A</v>
      </c>
      <c r="AZ14" s="174" t="e">
        <f>VLOOKUP(N14,Data!$BI$24:$BJ$30,2,FALSE)</f>
        <v>#N/A</v>
      </c>
      <c r="BA14" s="160" t="b">
        <f>IF(G14=Data!$BO$2,Data!$BS$2, IF('Shutters Page 2'!G14=Data!$BP$2,Data!$BT$2, IF('Shutters Page 2'!G14=Data!$BQ$2,Data!$BU$2)))</f>
        <v>0</v>
      </c>
      <c r="BB14" s="361" t="str">
        <f t="shared" si="7"/>
        <v>No</v>
      </c>
      <c r="BC14" s="160" t="e">
        <f t="shared" si="8"/>
        <v>#DIV/0!</v>
      </c>
      <c r="BD14" s="361" t="e">
        <f t="shared" si="9"/>
        <v>#DIV/0!</v>
      </c>
      <c r="BE14" s="160" t="e">
        <f t="shared" si="10"/>
        <v>#DIV/0!</v>
      </c>
      <c r="BF14" s="361" t="str">
        <f t="shared" si="11"/>
        <v>No</v>
      </c>
      <c r="BG14" s="160" t="str">
        <f t="shared" si="12"/>
        <v>NotRequired</v>
      </c>
      <c r="BH14" s="160" t="b">
        <f>IF(G14=Data!$BO$2,Data!$CM$2, IF('Shutters Page 2'!G14=Data!$BP$2,Data!$CN$2, IF('Shutters Page 2'!G14=Data!$BQ$2,Data!$CO$2)))</f>
        <v>0</v>
      </c>
      <c r="BI14" s="160" t="e">
        <f t="shared" si="54"/>
        <v>#DIV/0!</v>
      </c>
      <c r="BJ14" s="161" t="str">
        <f t="shared" si="13"/>
        <v>NoHighlight</v>
      </c>
      <c r="BK14" s="361" t="str">
        <f t="shared" si="14"/>
        <v>FauxwoodRPNo</v>
      </c>
      <c r="BL14" s="161" t="str">
        <f>IF(SUM(--ISNUMBER( SEARCH({"t","T"},P14))),"Yes","No")</f>
        <v>No</v>
      </c>
      <c r="BM14" s="161" t="str">
        <f t="shared" si="15"/>
        <v>OK</v>
      </c>
      <c r="BN14" s="161" t="str">
        <f t="shared" si="16"/>
        <v>OK</v>
      </c>
      <c r="BO14" s="161" t="str">
        <f t="shared" si="17"/>
        <v>OK</v>
      </c>
      <c r="BP14" s="161" t="e">
        <f>IF(OR(AND(F14&gt;1,#REF!="L",#REF!="l"),AND(F14&gt;1,#REF!="R",#REF!="r"),AND(F14&gt;2,#REF!="LR",#REF!="lr")), "Error","OK")</f>
        <v>#REF!</v>
      </c>
      <c r="BQ14" s="161" t="str">
        <f t="shared" si="18"/>
        <v>FauxwoodAINo</v>
      </c>
      <c r="BR14" s="161" t="str">
        <f>IF(SUM(--ISNUMBER(SEARCH({"combo","Combo","COMBO"}, B31))),"Yes","No")</f>
        <v>No</v>
      </c>
      <c r="BS14" s="161" t="str">
        <f t="shared" si="55"/>
        <v>No</v>
      </c>
      <c r="BT14" s="161" t="str">
        <f>IF(SUM(--ISNUMBER( SEARCH({"c","C","b","B"},#REF!))),"Yes","No")</f>
        <v>No</v>
      </c>
      <c r="BU14" s="162">
        <f t="shared" si="19"/>
        <v>0</v>
      </c>
      <c r="BV14" s="174" t="str">
        <f>IF(N14=Data!$BI$3,Data!$DR$3,IF(N14=Data!$BI$4,Data!$DS$3,IF(N14=Data!$BI$5,Data!$DT$3,IF(N14=Data!$BI$6,Data!$DU$3,IF(N14=Data!$BI$7,Data!$DV$3, IF(N14=Data!$BI$8,Data!$DX$3, IF(N14=Data!$BI$9,Data!$DW$3, "")))))))</f>
        <v/>
      </c>
      <c r="BW14" s="174" t="str">
        <f>IF(N14=Data!$BI$3,Data!$DY$3,IF(N14=Data!$BI$4,Data!$DZ$3,IF(N14=Data!$BI$5,Data!$EA$3,IF(N14=Data!$BI$6,Data!$EB$3,IF(N14=Data!$BI$7,Data!$EC$3,IF(N14=Data!$BI$8,Data!$EE$3, IF(N14=Data!$BI$9,Data!$ED$3,"")))))))</f>
        <v/>
      </c>
      <c r="BX14" s="162">
        <f t="shared" si="20"/>
        <v>0</v>
      </c>
      <c r="BY14" s="162">
        <f t="shared" si="21"/>
        <v>0</v>
      </c>
      <c r="BZ14" s="174" t="e">
        <f t="shared" si="22"/>
        <v>#DIV/0!</v>
      </c>
      <c r="CA14" s="351" t="b">
        <f>IF(G14=Data!$EU$2,Data!$ES$2,IF(G14=Data!$EU$3,Data!$ER$2, IF(G14=Data!$EU$5,Data!$ET$2, IF(G14=Data!$EU$4,Data!$EQ$2,IF(G14=Data!$EU$6,Data!$ER$2)))))</f>
        <v>0</v>
      </c>
      <c r="CB14" s="351" t="b">
        <f>IF(G14=Data!$EU$2,Data!$EW$2,IF(G14=Data!$EU$3,Data!$EX$2,IF(G14=Data!$EU$4,Data!$EY$2, IF(G14=Data!$EU$5,Data!$EY$2,IF(G14=Data!$EU$6,Data!$EX$2)))))</f>
        <v>0</v>
      </c>
      <c r="CC14" s="174" t="e">
        <f>VLOOKUP(M14,Data!$EJ$3:$EK$15,2,FALSE)</f>
        <v>#N/A</v>
      </c>
      <c r="CD14" s="174" t="str">
        <f>IF(J14="114mm",VLOOKUP(H14,Data!$FA$2:$FB$18,2,FALSE),"OK")</f>
        <v>OK</v>
      </c>
      <c r="CE14" s="174" t="e">
        <f t="shared" si="23"/>
        <v>#DIV/0!</v>
      </c>
      <c r="CF14" s="174" t="str">
        <f>IF(OR(AND(S14="",Q14&lt;&gt;"")),VLOOKUP(Q14,Data!$FC$2:$FD$19,2,FALSE),"")</f>
        <v/>
      </c>
      <c r="CG14" s="174" t="str">
        <f>IF(N14=Data!$BI$3,Data!$FJ$1,IF(N14=Data!$BI$4,Data!$FK$1,IF(N14=Data!$BI$5,Data!$FL$1,IF(N14=Data!$BI$6,Data!$FM$1,IF(N14=Data!$BI$7,Data!$FN$1, IF(N14=Data!$BI$8,Data!$FO$1, IF(N14=Data!$BI$9,Data!$FI$1, "")))))))</f>
        <v/>
      </c>
      <c r="CH14" s="174" t="str">
        <f>IF(SUM(--ISNUMBER(SEARCH({"z","Z"}, Q14))),"Yes","No")</f>
        <v>No</v>
      </c>
      <c r="CI14" s="174" t="str">
        <f t="shared" si="24"/>
        <v>OK</v>
      </c>
      <c r="CJ14" s="174">
        <f t="shared" si="25"/>
        <v>0</v>
      </c>
      <c r="CK14" s="174" t="e">
        <f>VLOOKUP(P14,Data!$DO$4:$DP$157,2,FALSE)</f>
        <v>#N/A</v>
      </c>
      <c r="CL14" s="174" t="e">
        <f t="shared" si="26"/>
        <v>#N/A</v>
      </c>
      <c r="CM14" s="162"/>
      <c r="CN14" s="162"/>
      <c r="CO14" s="162"/>
      <c r="CP14" s="366" t="str">
        <f t="shared" si="27"/>
        <v>OK</v>
      </c>
      <c r="CQ14" s="174" t="b">
        <f t="shared" si="28"/>
        <v>0</v>
      </c>
      <c r="CR14" s="174">
        <f t="shared" si="29"/>
        <v>0</v>
      </c>
      <c r="CS14" s="174">
        <f t="shared" si="30"/>
        <v>1</v>
      </c>
      <c r="CT14" s="174">
        <f t="shared" si="56"/>
        <v>0</v>
      </c>
      <c r="CU14" s="162" t="e">
        <f t="shared" si="31"/>
        <v>#DIV/0!</v>
      </c>
      <c r="CV14" s="162" t="e">
        <f>VLOOKUP(H14,Data!$BD$81:$BE$111,2,FALSE)</f>
        <v>#N/A</v>
      </c>
      <c r="CW14" s="174" t="str">
        <f t="shared" si="32"/>
        <v/>
      </c>
      <c r="CX14" s="292" t="str">
        <f>IF(H14=Data!$BE$3,Data!$HQ$2, IF(H14=Data!$BE$4,Data!$HP$2, IF(H14=Data!$BE$5,Data!$HR$2, IF(H14=Data!$BE$6,Data!$HO$2))))</f>
        <v>Super WhiteNA</v>
      </c>
      <c r="CY14" s="351" t="b">
        <f>IF(H14=Data!$BH$3,Data!$HU$2, IF(H14=Data!$BH$4,Data!$HT$2, IF(H14=Data!$BH$5,Data!$HS$2)))</f>
        <v>0</v>
      </c>
      <c r="CZ14" s="351" t="b">
        <f>IF(H14=Data!$BF$3,Data!$HQ$16, IF(H14=Data!$BF$4,Data!$HP$16, IF(H14=Data!$BF$5,Data!$HR$16, IF(H14=Data!$BF$6,Data!$HO$16))))</f>
        <v>0</v>
      </c>
      <c r="DA14" s="351" t="b">
        <f>IF(G14=Data!$BC$3,'Shutters Page 2'!CW14,IF(G14=Data!$BC$4,'Shutters Page 2'!CX14,IF(G14=Data!$BC$6,'Shutters Page 2'!CY14, IF(G14=Data!$BC$5, 'Shutters Page 2'!CX14,IF(G14=Data!$BC$7,'Shutters Page 2'!CX14)))))</f>
        <v>0</v>
      </c>
      <c r="DB14" s="162" t="e">
        <f>IF(OR(AND(L14&gt;0,#REF!="")), "Error","OK")</f>
        <v>#REF!</v>
      </c>
      <c r="DC14" s="174" t="e">
        <f>IF(COUNTIF(#REF!,Data!$CX$6),"Yes","")</f>
        <v>#REF!</v>
      </c>
      <c r="DD14" s="55" t="str">
        <f t="shared" si="33"/>
        <v/>
      </c>
      <c r="DG14" s="55" t="str">
        <f>IF(N14=Data!$BI$5,"Yes",IF(N14=Data!$BI$6,"Yes","No"))</f>
        <v>No</v>
      </c>
      <c r="DH14" s="66" t="b">
        <f>IF(N14=Data!$BI$3,Data!$JB$2,IF(N14=Data!$BI$4,Data!$JC$2,IF(N14=Data!$BI$5,Data!$JD$2,IF(N14=Data!$BI$6,DI14,IF(N14=Data!$BI$7,Data!$JF$2, IF(N14=Data!$BI$8,Data!$JA$2, IF(N14=Data!$BI$9,Data!$JG$2)))))))</f>
        <v>0</v>
      </c>
      <c r="DI14" s="55" t="e">
        <f>VLOOKUP(P14,Data!$AAY$2:$ABA$44,3,FALSE)</f>
        <v>#N/A</v>
      </c>
      <c r="DK14" s="66" t="e">
        <f>VLOOKUP(P14,Data!$DO$4:$DQ$157,3,FALSE)</f>
        <v>#N/A</v>
      </c>
      <c r="DL14" s="55" t="e">
        <f t="shared" si="34"/>
        <v>#N/A</v>
      </c>
      <c r="DM14" s="55" t="e">
        <f t="shared" si="57"/>
        <v>#N/A</v>
      </c>
      <c r="DN14" s="162" t="b">
        <f>IF(Q14=Data!$BK$3,Data!$JH$2,IF(Q14=Data!$BK$4,Data!$JI$2,IF(Q14=Data!$BK$5,Data!$JJ$2,IF(Q14=Data!$BK$6,Data!$JK$2,IF(Q14=Data!$BK$7,Data!$JL$2,IF(Q14=Data!$BK$8,Data!$JM$2,IF(Q14=Data!$BK$9,Data!$JN$2,IF(Q14=Data!$BK$10,Data!$JO$2,IF(Q14=Data!$BK$11,Data!$JP$2,IF(Q14=Data!$BK$12,Data!$JQ$2,IF(Q14=Data!$BK$13,Data!$JR$2,IF(Q14=Data!$BK$14,Data!$JS$2,IF(Q14=Data!$BK$15,Data!$JT$2,IF(Q14=Data!$BK$16,Data!$JU$2,IF(Q14=Data!$BK$17,Data!$JV$2,IF(Q14=Data!$BK$18,Data!$JW$2, IF(Q14=Data!$BK$19,Data!$JX$2, IF(Q14=Data!$BK$20,Data!$JY$2, IF(Q14=Data!$BK$21,Data!$JN$2, IF(Q14=Data!$BK$22,Data!$JN$2, IF(Q14=Data!$BK$23,Data!$JN$2, IF(Q14=Data!$BK$24,Data!$JL$19))))))))))))))))))))))</f>
        <v>0</v>
      </c>
      <c r="DO14" s="55" t="str">
        <f>Data!$JH$19</f>
        <v>LRFrameAir</v>
      </c>
      <c r="DP14" s="55" t="b">
        <f>IF(G14=Data!$JH$18,'Shutters Page 2'!DO14,'Shutters Page 2'!DN14)</f>
        <v>0</v>
      </c>
      <c r="DR14" s="174" t="str">
        <f t="shared" si="58"/>
        <v/>
      </c>
      <c r="DS14" s="174" t="e">
        <f t="shared" si="59"/>
        <v>#N/A</v>
      </c>
      <c r="DT14" s="174" t="str">
        <f t="shared" si="35"/>
        <v>OK</v>
      </c>
      <c r="DU14" s="174" t="str">
        <f t="shared" si="36"/>
        <v>OK</v>
      </c>
      <c r="DV14" s="174" t="str">
        <f t="shared" si="37"/>
        <v>OK</v>
      </c>
      <c r="DW14" s="174" t="str">
        <f t="shared" si="38"/>
        <v>OK</v>
      </c>
      <c r="DX14" s="66" t="b">
        <f>IF(N14=Data!$LW$2,Data!$LX$1,IF(N14=Data!$LW$3,Data!$LY$1,IF(N14=Data!$LW$4,Data!$LZ$1,IF(N14=Data!$LW$5,Data!$MA$1,IF(N14=Data!$LW$6,Data!$MB$1,IF(N14=Data!$LW$7,Data!$MC$1, IF(N14=Data!$LW$8,Data!$MX$1)))))))</f>
        <v>0</v>
      </c>
      <c r="DY14" s="66" t="b">
        <f>IF(N14=Data!$LW$2,Data!$LX$147,IF(N14=Data!$LW$7,Data!$MC$1))</f>
        <v>0</v>
      </c>
      <c r="DZ14" s="66" t="b">
        <f>IF(G14=Data!$BC$3,'Shutters Page 2'!DX14,IF(G14=Data!$BC$5,'Shutters Page 2'!DY14))</f>
        <v>0</v>
      </c>
      <c r="EA14" s="66" t="b">
        <f>IF(E14=Data!$MD$2,Data!$ME$2, IF(E14=Data!$MD$3,Data!$MF$2, IF(E14=Data!$MD$4,Data!$MG$2)))</f>
        <v>0</v>
      </c>
      <c r="EB14" s="162" t="str">
        <f>IF(E14="MS",Data!$AK$1,IF(G14=Data!$BC$5,Data!$EJ$40,IF(G14=Data!$BC$4,Data!$EJ$20,Data!$EJ$2)))</f>
        <v>Special_Window_Timber</v>
      </c>
      <c r="EC14" s="66" t="str">
        <f>IF(OR(AND(T14="",Q14&lt;&gt;"")),VLOOKUP(Q14,Data!$FC$2:$FD$18,2,FALSE),"")</f>
        <v/>
      </c>
      <c r="ED14" s="66" t="str">
        <f>IF(OR(AND(U14="",Q14&lt;&gt;"")),VLOOKUP(Q14,Data!$FC$2:$FD$18,2,FALSE),"")</f>
        <v/>
      </c>
      <c r="EE14" s="66" t="str">
        <f>IF(OR(AND(V14="",Q14&lt;&gt;"")),VLOOKUP(Q14,Data!$FC$2:$FD$18,2,FALSE),"")</f>
        <v/>
      </c>
      <c r="EF14" s="162" t="e">
        <f>VLOOKUP(N14,Data!$MK$2:$ML$8,2,FALSE)</f>
        <v>#N/A</v>
      </c>
      <c r="EG14" s="66" t="e">
        <f>VLOOKUP(P14,Data!$DO$4:$DO$158,1,FALSE)</f>
        <v>#N/A</v>
      </c>
      <c r="EH14" s="66" t="e">
        <f t="shared" si="39"/>
        <v>#N/A</v>
      </c>
      <c r="EI14" s="55" t="str">
        <f t="shared" si="40"/>
        <v/>
      </c>
      <c r="EJ14" s="162" t="str">
        <f t="shared" si="41"/>
        <v>OK</v>
      </c>
      <c r="EK14" s="405" t="str">
        <f>Data!$JI$19</f>
        <v>TopBottomFrameAir</v>
      </c>
      <c r="EL14" s="405" t="b">
        <f>IF(G14=Data!$JH$18,EK14,EM14)</f>
        <v>0</v>
      </c>
      <c r="EM14" s="174" t="b">
        <f>IF(Q14=Data!$NN$3,Data!$NO$2, IF(Q14=Data!$NN$4,Data!$NP$2, IF(Q14=Data!$NN$5,Data!$NQ$2, IF(Q14=Data!$NN$6,Data!$NR$2, IF(Q14=Data!$NN$7,Data!$NS$2, IF(Q14=Data!$NN$8,Data!$NT$2, IF(Q14=Data!$NN$9,Data!$NU$2, IF(Q14=Data!$NN$10,Data!$NV$2, IF(Q14=Data!$NN$11,Data!$NW$2, IF(Q14=Data!$NN$12,Data!$NX$2, IF(Q14=Data!$NN$13,Data!$NY$2, IF(Q14=Data!$NN$14,Data!$NZ$2, IF(Q14=Data!$NN$15,Data!$OA$2, IF(Q14=Data!$NN$16,Data!$OB$2, IF(Q14=Data!$NN$17,Data!$OC$2, IF(Q14=Data!$NN$18,Data!$OD$2, IF(Q14=Data!$NN$19,Data!$OE$2, IF(Q14=Data!$NN$20,Data!$OG$2, IF(Q14=Data!$NN$25,Data!$NT$2, IF(Q14=Data!$NN$26,Data!$NT$2, IF(Q14=Data!$NN$27,Data!$NT$2, IF(Q14=Data!$NN$28,Data!$OH$2))))))))))))))))))))))</f>
        <v>0</v>
      </c>
      <c r="EN14" s="174" t="b">
        <f>IF(O14=$EN$7,Data!$OD$15,'Shutters Page 2'!EO14)</f>
        <v>0</v>
      </c>
      <c r="EO14" s="174" t="b">
        <f>IF(Q14=Data!$NN$3,Data!$NO$15,IF(Q14=Data!$NN$4,Data!$NP$15,IF(Q14=Data!$NN$5,Data!$NQ$15,IF(Q14=Data!$NN$6,Data!$NR$15,IF(Q14=Data!$NN$7,Data!$NS$15,IF(Q14=Data!$NN$8,Data!$NT$15,IF(Q14=Data!$NN$9,Data!$NU$15,IF(Q14=Data!$NN$10,Data!$NV$15,IF(Q14=Data!$NN$11,Data!$NW$15,IF(Q14=Data!$NN$12,Data!$NX$15,IF(Q14=Data!$NN$13,Data!$NY$15,IF(Q14=Data!$NN$14,Data!$NZ$15,IF(N14=Data!$NN$22,Data!$OA$15,IF(N14=Data!$NN$23,Data!$OB$15,IF(Q14=Data!$NN$19,Data!$OC$15, IF(Q14=Data!$NN$20,Data!$OG$15,IF(Q14=Data!$NN$25,Data!$NT$15,IF(Q14=Data!$NN$26,Data!$NT$15,IF(Q14=Data!$NN$27,Data!$NT$15,IF(Q14=Data!$NN$28,Data!$OH$15))))))))))))))))))))</f>
        <v>0</v>
      </c>
      <c r="EP14" s="406" t="str">
        <f>Data!$JI$19</f>
        <v>TopBottomFrameAir</v>
      </c>
      <c r="EQ14" s="406" t="b">
        <f>IF(G14=Data!$JH$18,EP14,EN14)</f>
        <v>0</v>
      </c>
      <c r="ER14" s="351" t="e">
        <f>MATCH(G14,Data!$CW$10:$CW$14,0)</f>
        <v>#N/A</v>
      </c>
      <c r="ES14" s="174" t="e">
        <f>MATCH(J14,Data!$CX$9:$DA$9,0)</f>
        <v>#N/A</v>
      </c>
      <c r="ET14" s="355" t="e">
        <f>INDEX(Data!$CX$10:$DA$14,'Shutters Page 2'!ER14,'Shutters Page 2'!ES14)</f>
        <v>#N/A</v>
      </c>
      <c r="EU14" s="355" t="e">
        <f>VLOOKUP(H14,Data!$BD$81:$BE$115,2,FALSE)</f>
        <v>#N/A</v>
      </c>
      <c r="EV14" s="355" t="e">
        <f>IF(EU14=Data!$BB$80,Data!$CW$20,'Shutters Page 2'!ET14)</f>
        <v>#N/A</v>
      </c>
      <c r="EW14" s="174" t="str">
        <f>IF(SUM(--ISNUMBER(SEARCH({"combo","Combo","COMBO"}, B31))),"Yes","No")</f>
        <v>No</v>
      </c>
      <c r="EX14" s="174" t="str">
        <f>IF(SUM(--ISNUMBER(SEARCH({"combo","Combo","COMBO"}, F31))),"Yes","No")</f>
        <v>No</v>
      </c>
      <c r="EY14" s="174" t="str">
        <f t="shared" si="60"/>
        <v>No</v>
      </c>
      <c r="EZ14" s="162">
        <f t="shared" si="42"/>
        <v>1</v>
      </c>
      <c r="FA14" s="162" t="e">
        <f t="shared" si="43"/>
        <v>#DIV/0!</v>
      </c>
      <c r="FB14" s="174" t="str">
        <f t="shared" si="44"/>
        <v/>
      </c>
      <c r="FC14" s="351" t="str">
        <f t="shared" si="45"/>
        <v/>
      </c>
      <c r="FD14" s="351" t="str">
        <f t="shared" si="46"/>
        <v/>
      </c>
      <c r="FE14" s="174" t="str">
        <f t="shared" si="47"/>
        <v/>
      </c>
      <c r="FF14" s="174" t="str">
        <f t="shared" si="48"/>
        <v/>
      </c>
      <c r="FG14" s="174" t="str">
        <f t="shared" si="49"/>
        <v/>
      </c>
      <c r="FH14" s="278" t="str">
        <f t="shared" si="61"/>
        <v>No</v>
      </c>
      <c r="FI14" s="351" t="e">
        <f>MATCH(G14,Data!$FH$18:$FL$18,0)</f>
        <v>#N/A</v>
      </c>
      <c r="FJ14" s="174" t="e">
        <f>MATCH(N14,Data!$FG$19:$FG$25,0)</f>
        <v>#N/A</v>
      </c>
      <c r="FK14" s="351" t="e">
        <f>INDEX(Data!$FH$19:$FL$25,'Shutters Page 2'!FJ14,'Shutters Page 2'!FI14)</f>
        <v>#N/A</v>
      </c>
      <c r="FL14" s="411" t="e">
        <f>MATCH(G14,Data!$FH$53:$FI$53,0)</f>
        <v>#N/A</v>
      </c>
      <c r="FM14" s="411" t="e">
        <f>MATCH(N14,Data!$FG$54:$FG$60,0)</f>
        <v>#N/A</v>
      </c>
      <c r="FN14" s="411" t="e">
        <f>INDEX(Data!$FH$54:$FI$60,'Shutters Page 2'!FM14,'Shutters Page 2'!FL14)</f>
        <v>#N/A</v>
      </c>
      <c r="FO14" s="411" t="e">
        <f>IF(E14=Data!$FH$35,'Shutters Page 2'!FN14,'Shutters Page 2'!FK14)</f>
        <v>#N/A</v>
      </c>
      <c r="FP14" s="351" t="e">
        <f>MATCH(G14,Data!$ME$26:$MG$26,0)</f>
        <v>#N/A</v>
      </c>
      <c r="FQ14" s="174" t="e">
        <f>MATCH(E14,Data!$MD$27:$MD$29,0)</f>
        <v>#N/A</v>
      </c>
      <c r="FR14" s="351" t="e">
        <f>INDEX(Data!$ME$27:$MG$29, 'Shutters Page 2'!FQ14, 'Shutters Page 2'!FP14)</f>
        <v>#N/A</v>
      </c>
      <c r="FS14" s="351" t="e">
        <f>MATCH(G14,Data!$AAF$1:$AAH$1,0)</f>
        <v>#N/A</v>
      </c>
      <c r="FT14" s="174" t="e">
        <f>MATCH(N14,Data!$AAE$2:$AAE$8,0)</f>
        <v>#N/A</v>
      </c>
      <c r="FU14" s="351" t="e">
        <f>INDEX(Data!$AAF$2:$AAH$8, 'Shutters Page 2'!FT14, 'Shutters Page 2'!FS14)</f>
        <v>#N/A</v>
      </c>
      <c r="FV14" s="351" t="e">
        <f>MATCH(G14,Data!$AAF$12:$AAH$12,0)</f>
        <v>#N/A</v>
      </c>
      <c r="FW14" s="174" t="e">
        <f>MATCH(N14,Data!$AAE$13:$AAE$19,0)</f>
        <v>#N/A</v>
      </c>
      <c r="FX14" s="351" t="e">
        <f>INDEX(Data!$AAF$13:$AAH$19, 'Shutters Page 2'!FW14, 'Shutters Page 2'!FV14)</f>
        <v>#N/A</v>
      </c>
      <c r="FY14" s="351" t="e">
        <f>MATCH(G14,Data!$AAK$1:$AAM$1,0)</f>
        <v>#N/A</v>
      </c>
      <c r="FZ14" s="174" t="e">
        <f>MATCH(Q14,Data!$AAJ$2,0)</f>
        <v>#N/A</v>
      </c>
      <c r="GA14" s="351" t="e">
        <f>INDEX(Data!$AAK$2:$AAM$2, 'Shutters Page 2'!FZ14, 'Shutters Page 2'!FY14)</f>
        <v>#N/A</v>
      </c>
      <c r="GB14" s="351" t="e">
        <f>MATCH(G14,Data!$AAK$12:$AAM$12,0)</f>
        <v>#N/A</v>
      </c>
      <c r="GC14" s="174" t="e">
        <f>MATCH(Q14,Data!$AAJ$13,0)</f>
        <v>#N/A</v>
      </c>
      <c r="GD14" s="351" t="e">
        <f>INDEX(Data!$AAK$13:$AAM$13, 'Shutters Page 2'!GC14, 'Shutters Page 2'!GB14)</f>
        <v>#N/A</v>
      </c>
      <c r="GE14" s="162" t="e">
        <f>VLOOKUP(H14,Data!$AAR$1:$AAS$35,2,FALSE)</f>
        <v>#N/A</v>
      </c>
      <c r="GF14" s="162" t="e">
        <f t="shared" si="50"/>
        <v>#N/A</v>
      </c>
      <c r="GG14" s="162" t="e">
        <f t="shared" si="51"/>
        <v>#N/A</v>
      </c>
      <c r="GH14" s="162" t="e">
        <f t="shared" si="52"/>
        <v>#N/A</v>
      </c>
      <c r="GI14" s="162" t="str">
        <f>IF(G14=Data!$NC$1,Data!$ND$1,Data!$NE$1)</f>
        <v>FauxwoodStile</v>
      </c>
      <c r="GL14" s="55" t="e">
        <f>VLOOKUP('Shutters Page 2'!H14,Data!$BD$81:$BE$115,2,FALSE)</f>
        <v>#N/A</v>
      </c>
      <c r="GM14" s="55" t="e">
        <f>IF(GL14=Data!$BB$80,"Yes", "No")</f>
        <v>#N/A</v>
      </c>
      <c r="GN14" s="55" t="e">
        <f>IF(GM14="Yes",Data!$EJ$57,'Shutters Page 2'!EB14)</f>
        <v>#N/A</v>
      </c>
      <c r="GQ14" s="55" t="b">
        <f>IF(G14=$GQ$6,Data!$EN$47,IF(G14='Shutters Page 2'!$GQ$7,Data!$EM$47))</f>
        <v>0</v>
      </c>
    </row>
    <row r="15" spans="1:199" ht="36.75" customHeight="1">
      <c r="A15" s="53">
        <v>7</v>
      </c>
      <c r="B15" s="17"/>
      <c r="C15" s="14"/>
      <c r="D15" s="14"/>
      <c r="E15" s="14"/>
      <c r="F15" s="10"/>
      <c r="G15" s="13"/>
      <c r="H15" s="555"/>
      <c r="I15" s="603"/>
      <c r="J15" s="14"/>
      <c r="K15" s="149" t="str">
        <f t="shared" si="0"/>
        <v/>
      </c>
      <c r="L15" s="15"/>
      <c r="M15" s="15"/>
      <c r="N15" s="15"/>
      <c r="O15" s="15"/>
      <c r="P15" s="15"/>
      <c r="Q15" s="486"/>
      <c r="R15" s="486"/>
      <c r="S15" s="13"/>
      <c r="T15" s="13"/>
      <c r="U15" s="13"/>
      <c r="V15" s="13"/>
      <c r="W15" s="15"/>
      <c r="X15" s="15"/>
      <c r="Y15" s="16"/>
      <c r="Z15" s="16"/>
      <c r="AA15" s="14"/>
      <c r="AB15" s="14"/>
      <c r="AC15" s="14"/>
      <c r="AD15" s="386"/>
      <c r="AE15" s="169" t="str">
        <f t="shared" si="1"/>
        <v/>
      </c>
      <c r="AF15" s="236"/>
      <c r="AG15" s="237"/>
      <c r="AI15" s="55">
        <f t="shared" si="2"/>
        <v>0</v>
      </c>
      <c r="AJ15" s="55">
        <f t="shared" si="3"/>
        <v>0</v>
      </c>
      <c r="AK15" s="55">
        <f>IF(P15&lt;&gt;"",VLOOKUP(P15,Data!$AAY$2:$AAZ$44,2,FALSE),0)</f>
        <v>0</v>
      </c>
      <c r="AL15" s="55" t="str">
        <f>IF(E15=Data!$BB$10,Data!$BC$10,Data!$BC$2)</f>
        <v>ShutterMaterial</v>
      </c>
      <c r="AP15" s="55" t="str">
        <f t="shared" si="53"/>
        <v>SlidingSystemNA</v>
      </c>
      <c r="AV15" s="114" t="str">
        <f t="shared" si="4"/>
        <v/>
      </c>
      <c r="AW15" s="66" t="e">
        <f t="shared" si="5"/>
        <v>#N/A</v>
      </c>
      <c r="AX15" s="174" t="e">
        <f>VLOOKUP(Q15,Data!$MI$2:$MJ$4,2,FALSE)</f>
        <v>#N/A</v>
      </c>
      <c r="AY15" s="174" t="e">
        <f t="shared" si="6"/>
        <v>#N/A</v>
      </c>
      <c r="AZ15" s="174" t="e">
        <f>VLOOKUP(N15,Data!$BI$24:$BJ$30,2,FALSE)</f>
        <v>#N/A</v>
      </c>
      <c r="BA15" s="160" t="b">
        <f>IF(G15=Data!$BO$2,Data!$BS$2, IF('Shutters Page 2'!G15=Data!$BP$2,Data!$BT$2, IF('Shutters Page 2'!G15=Data!$BQ$2,Data!$BU$2)))</f>
        <v>0</v>
      </c>
      <c r="BB15" s="361" t="str">
        <f t="shared" si="7"/>
        <v>No</v>
      </c>
      <c r="BC15" s="160" t="e">
        <f t="shared" si="8"/>
        <v>#DIV/0!</v>
      </c>
      <c r="BD15" s="361" t="e">
        <f t="shared" si="9"/>
        <v>#DIV/0!</v>
      </c>
      <c r="BE15" s="160" t="e">
        <f t="shared" si="10"/>
        <v>#DIV/0!</v>
      </c>
      <c r="BF15" s="361" t="str">
        <f t="shared" si="11"/>
        <v>No</v>
      </c>
      <c r="BG15" s="160" t="str">
        <f t="shared" si="12"/>
        <v>NotRequired</v>
      </c>
      <c r="BH15" s="160" t="b">
        <f>IF(G15=Data!$BO$2,Data!$CM$2, IF('Shutters Page 2'!G15=Data!$BP$2,Data!$CN$2, IF('Shutters Page 2'!G15=Data!$BQ$2,Data!$CO$2)))</f>
        <v>0</v>
      </c>
      <c r="BI15" s="160" t="e">
        <f t="shared" si="54"/>
        <v>#DIV/0!</v>
      </c>
      <c r="BJ15" s="161" t="str">
        <f t="shared" si="13"/>
        <v>NoHighlight</v>
      </c>
      <c r="BK15" s="361" t="str">
        <f t="shared" si="14"/>
        <v>FauxwoodRPNo</v>
      </c>
      <c r="BL15" s="161" t="str">
        <f>IF(SUM(--ISNUMBER( SEARCH({"t","T"},P15))),"Yes","No")</f>
        <v>No</v>
      </c>
      <c r="BM15" s="161" t="str">
        <f t="shared" si="15"/>
        <v>OK</v>
      </c>
      <c r="BN15" s="161" t="str">
        <f t="shared" si="16"/>
        <v>OK</v>
      </c>
      <c r="BO15" s="161" t="str">
        <f t="shared" si="17"/>
        <v>OK</v>
      </c>
      <c r="BP15" s="161" t="e">
        <f>IF(OR(AND(F15&gt;1,#REF!="L",#REF!="l"),AND(F15&gt;1,#REF!="R",#REF!="r"),AND(F15&gt;2,#REF!="LR",#REF!="lr")), "Error","OK")</f>
        <v>#REF!</v>
      </c>
      <c r="BQ15" s="161" t="str">
        <f t="shared" si="18"/>
        <v>FauxwoodAINo</v>
      </c>
      <c r="BR15" s="161" t="str">
        <f>IF(SUM(--ISNUMBER(SEARCH({"combo","Combo","COMBO"}, B32))),"Yes","No")</f>
        <v>No</v>
      </c>
      <c r="BS15" s="161" t="str">
        <f t="shared" si="55"/>
        <v>No</v>
      </c>
      <c r="BT15" s="161" t="str">
        <f>IF(SUM(--ISNUMBER( SEARCH({"c","C","b","B"},#REF!))),"Yes","No")</f>
        <v>No</v>
      </c>
      <c r="BU15" s="162">
        <f t="shared" si="19"/>
        <v>0</v>
      </c>
      <c r="BV15" s="174" t="str">
        <f>IF(N15=Data!$BI$3,Data!$DR$3,IF(N15=Data!$BI$4,Data!$DS$3,IF(N15=Data!$BI$5,Data!$DT$3,IF(N15=Data!$BI$6,Data!$DU$3,IF(N15=Data!$BI$7,Data!$DV$3, IF(N15=Data!$BI$8,Data!$DX$3, IF(N15=Data!$BI$9,Data!$DW$3, "")))))))</f>
        <v/>
      </c>
      <c r="BW15" s="174" t="str">
        <f>IF(N15=Data!$BI$3,Data!$DY$3,IF(N15=Data!$BI$4,Data!$DZ$3,IF(N15=Data!$BI$5,Data!$EA$3,IF(N15=Data!$BI$6,Data!$EB$3,IF(N15=Data!$BI$7,Data!$EC$3,IF(N15=Data!$BI$8,Data!$EE$3, IF(N15=Data!$BI$9,Data!$ED$3,"")))))))</f>
        <v/>
      </c>
      <c r="BX15" s="162">
        <f t="shared" si="20"/>
        <v>0</v>
      </c>
      <c r="BY15" s="162">
        <f t="shared" si="21"/>
        <v>0</v>
      </c>
      <c r="BZ15" s="174" t="e">
        <f t="shared" si="22"/>
        <v>#DIV/0!</v>
      </c>
      <c r="CA15" s="351" t="b">
        <f>IF(G15=Data!$EU$2,Data!$ES$2,IF(G15=Data!$EU$3,Data!$ER$2, IF(G15=Data!$EU$5,Data!$ET$2, IF(G15=Data!$EU$4,Data!$EQ$2,IF(G15=Data!$EU$6,Data!$ER$2)))))</f>
        <v>0</v>
      </c>
      <c r="CB15" s="351" t="b">
        <f>IF(G15=Data!$EU$2,Data!$EW$2,IF(G15=Data!$EU$3,Data!$EX$2,IF(G15=Data!$EU$4,Data!$EY$2, IF(G15=Data!$EU$5,Data!$EY$2,IF(G15=Data!$EU$6,Data!$EX$2)))))</f>
        <v>0</v>
      </c>
      <c r="CC15" s="174" t="e">
        <f>VLOOKUP(M15,Data!$EJ$3:$EK$15,2,FALSE)</f>
        <v>#N/A</v>
      </c>
      <c r="CD15" s="174" t="str">
        <f>IF(J15="114mm",VLOOKUP(H15,Data!$FA$2:$FB$18,2,FALSE),"OK")</f>
        <v>OK</v>
      </c>
      <c r="CE15" s="174" t="e">
        <f t="shared" si="23"/>
        <v>#DIV/0!</v>
      </c>
      <c r="CF15" s="174" t="str">
        <f>IF(OR(AND(S15="",Q15&lt;&gt;"")),VLOOKUP(Q15,Data!$FC$2:$FD$19,2,FALSE),"")</f>
        <v/>
      </c>
      <c r="CG15" s="174" t="str">
        <f>IF(N15=Data!$BI$3,Data!$FJ$1,IF(N15=Data!$BI$4,Data!$FK$1,IF(N15=Data!$BI$5,Data!$FL$1,IF(N15=Data!$BI$6,Data!$FM$1,IF(N15=Data!$BI$7,Data!$FN$1, IF(N15=Data!$BI$8,Data!$FO$1, IF(N15=Data!$BI$9,Data!$FI$1, "")))))))</f>
        <v/>
      </c>
      <c r="CH15" s="174" t="str">
        <f>IF(SUM(--ISNUMBER(SEARCH({"z","Z"}, Q15))),"Yes","No")</f>
        <v>No</v>
      </c>
      <c r="CI15" s="174" t="str">
        <f t="shared" si="24"/>
        <v>OK</v>
      </c>
      <c r="CJ15" s="174">
        <f t="shared" si="25"/>
        <v>0</v>
      </c>
      <c r="CK15" s="174" t="e">
        <f>VLOOKUP(P15,Data!$DO$4:$DP$157,2,FALSE)</f>
        <v>#N/A</v>
      </c>
      <c r="CL15" s="174" t="e">
        <f t="shared" si="26"/>
        <v>#N/A</v>
      </c>
      <c r="CM15" s="162"/>
      <c r="CN15" s="162"/>
      <c r="CO15" s="162"/>
      <c r="CP15" s="366" t="str">
        <f t="shared" si="27"/>
        <v>OK</v>
      </c>
      <c r="CQ15" s="174" t="b">
        <f t="shared" si="28"/>
        <v>0</v>
      </c>
      <c r="CR15" s="174">
        <f t="shared" si="29"/>
        <v>0</v>
      </c>
      <c r="CS15" s="174">
        <f t="shared" si="30"/>
        <v>1</v>
      </c>
      <c r="CT15" s="174">
        <f t="shared" si="56"/>
        <v>0</v>
      </c>
      <c r="CU15" s="162" t="e">
        <f t="shared" si="31"/>
        <v>#DIV/0!</v>
      </c>
      <c r="CV15" s="162" t="e">
        <f>VLOOKUP(H15,Data!$BD$81:$BE$111,2,FALSE)</f>
        <v>#N/A</v>
      </c>
      <c r="CW15" s="174" t="str">
        <f t="shared" si="32"/>
        <v/>
      </c>
      <c r="CX15" s="292" t="str">
        <f>IF(H15=Data!$BE$3,Data!$HQ$2, IF(H15=Data!$BE$4,Data!$HP$2, IF(H15=Data!$BE$5,Data!$HR$2, IF(H15=Data!$BE$6,Data!$HO$2))))</f>
        <v>Super WhiteNA</v>
      </c>
      <c r="CY15" s="351" t="b">
        <f>IF(H15=Data!$BH$3,Data!$HU$2, IF(H15=Data!$BH$4,Data!$HT$2, IF(H15=Data!$BH$5,Data!$HS$2)))</f>
        <v>0</v>
      </c>
      <c r="CZ15" s="351" t="b">
        <f>IF(H15=Data!$BF$3,Data!$HQ$16, IF(H15=Data!$BF$4,Data!$HP$16, IF(H15=Data!$BF$5,Data!$HR$16, IF(H15=Data!$BF$6,Data!$HO$16))))</f>
        <v>0</v>
      </c>
      <c r="DA15" s="351" t="b">
        <f>IF(G15=Data!$BC$3,'Shutters Page 2'!CW15,IF(G15=Data!$BC$4,'Shutters Page 2'!CX15,IF(G15=Data!$BC$6,'Shutters Page 2'!CY15, IF(G15=Data!$BC$5, 'Shutters Page 2'!CX15,IF(G15=Data!$BC$7,'Shutters Page 2'!CX15)))))</f>
        <v>0</v>
      </c>
      <c r="DB15" s="162" t="e">
        <f>IF(OR(AND(L15&gt;0,#REF!="")), "Error","OK")</f>
        <v>#REF!</v>
      </c>
      <c r="DC15" s="174" t="e">
        <f>IF(COUNTIF(#REF!,Data!$CX$6),"Yes","")</f>
        <v>#REF!</v>
      </c>
      <c r="DD15" s="55" t="str">
        <f t="shared" si="33"/>
        <v/>
      </c>
      <c r="DG15" s="55" t="str">
        <f>IF(N15=Data!$BI$5,"Yes",IF(N15=Data!$BI$6,"Yes","No"))</f>
        <v>No</v>
      </c>
      <c r="DH15" s="66" t="b">
        <f>IF(N15=Data!$BI$3,Data!$JB$2,IF(N15=Data!$BI$4,Data!$JC$2,IF(N15=Data!$BI$5,Data!$JD$2,IF(N15=Data!$BI$6,DI15,IF(N15=Data!$BI$7,Data!$JF$2, IF(N15=Data!$BI$8,Data!$JA$2, IF(N15=Data!$BI$9,Data!$JG$2)))))))</f>
        <v>0</v>
      </c>
      <c r="DI15" s="55" t="e">
        <f>VLOOKUP(P15,Data!$AAY$2:$ABA$44,3,FALSE)</f>
        <v>#N/A</v>
      </c>
      <c r="DK15" s="66" t="e">
        <f>VLOOKUP(P15,Data!$DO$4:$DQ$157,3,FALSE)</f>
        <v>#N/A</v>
      </c>
      <c r="DL15" s="55" t="e">
        <f t="shared" si="34"/>
        <v>#N/A</v>
      </c>
      <c r="DM15" s="55" t="e">
        <f t="shared" si="57"/>
        <v>#N/A</v>
      </c>
      <c r="DN15" s="162" t="b">
        <f>IF(Q15=Data!$BK$3,Data!$JH$2,IF(Q15=Data!$BK$4,Data!$JI$2,IF(Q15=Data!$BK$5,Data!$JJ$2,IF(Q15=Data!$BK$6,Data!$JK$2,IF(Q15=Data!$BK$7,Data!$JL$2,IF(Q15=Data!$BK$8,Data!$JM$2,IF(Q15=Data!$BK$9,Data!$JN$2,IF(Q15=Data!$BK$10,Data!$JO$2,IF(Q15=Data!$BK$11,Data!$JP$2,IF(Q15=Data!$BK$12,Data!$JQ$2,IF(Q15=Data!$BK$13,Data!$JR$2,IF(Q15=Data!$BK$14,Data!$JS$2,IF(Q15=Data!$BK$15,Data!$JT$2,IF(Q15=Data!$BK$16,Data!$JU$2,IF(Q15=Data!$BK$17,Data!$JV$2,IF(Q15=Data!$BK$18,Data!$JW$2, IF(Q15=Data!$BK$19,Data!$JX$2, IF(Q15=Data!$BK$20,Data!$JY$2, IF(Q15=Data!$BK$21,Data!$JN$2, IF(Q15=Data!$BK$22,Data!$JN$2, IF(Q15=Data!$BK$23,Data!$JN$2, IF(Q15=Data!$BK$24,Data!$JL$19))))))))))))))))))))))</f>
        <v>0</v>
      </c>
      <c r="DO15" s="55" t="str">
        <f>Data!$JH$19</f>
        <v>LRFrameAir</v>
      </c>
      <c r="DP15" s="55" t="b">
        <f>IF(G15=Data!$JH$18,'Shutters Page 2'!DO15,'Shutters Page 2'!DN15)</f>
        <v>0</v>
      </c>
      <c r="DR15" s="174" t="str">
        <f t="shared" si="58"/>
        <v/>
      </c>
      <c r="DS15" s="174" t="e">
        <f t="shared" si="59"/>
        <v>#N/A</v>
      </c>
      <c r="DT15" s="174" t="str">
        <f t="shared" si="35"/>
        <v>OK</v>
      </c>
      <c r="DU15" s="174" t="str">
        <f t="shared" si="36"/>
        <v>OK</v>
      </c>
      <c r="DV15" s="174" t="str">
        <f t="shared" si="37"/>
        <v>OK</v>
      </c>
      <c r="DW15" s="174" t="str">
        <f t="shared" si="38"/>
        <v>OK</v>
      </c>
      <c r="DX15" s="66" t="b">
        <f>IF(N15=Data!$LW$2,Data!$LX$1,IF(N15=Data!$LW$3,Data!$LY$1,IF(N15=Data!$LW$4,Data!$LZ$1,IF(N15=Data!$LW$5,Data!$MA$1,IF(N15=Data!$LW$6,Data!$MB$1,IF(N15=Data!$LW$7,Data!$MC$1, IF(N15=Data!$LW$8,Data!$MX$1)))))))</f>
        <v>0</v>
      </c>
      <c r="DY15" s="66" t="b">
        <f>IF(N15=Data!$LW$2,Data!$LX$147,IF(N15=Data!$LW$7,Data!$MC$1))</f>
        <v>0</v>
      </c>
      <c r="DZ15" s="66" t="b">
        <f>IF(G15=Data!$BC$3,'Shutters Page 2'!DX15,IF(G15=Data!$BC$5,'Shutters Page 2'!DY15))</f>
        <v>0</v>
      </c>
      <c r="EA15" s="66" t="b">
        <f>IF(E15=Data!$MD$2,Data!$ME$2, IF(E15=Data!$MD$3,Data!$MF$2, IF(E15=Data!$MD$4,Data!$MG$2)))</f>
        <v>0</v>
      </c>
      <c r="EB15" s="162" t="str">
        <f>IF(E15="MS",Data!$AK$1,IF(G15=Data!$BC$5,Data!$EJ$40,IF(G15=Data!$BC$4,Data!$EJ$20,Data!$EJ$2)))</f>
        <v>Special_Window_Timber</v>
      </c>
      <c r="EC15" s="66" t="str">
        <f>IF(OR(AND(T15="",Q15&lt;&gt;"")),VLOOKUP(Q15,Data!$FC$2:$FD$18,2,FALSE),"")</f>
        <v/>
      </c>
      <c r="ED15" s="66" t="str">
        <f>IF(OR(AND(U15="",Q15&lt;&gt;"")),VLOOKUP(Q15,Data!$FC$2:$FD$18,2,FALSE),"")</f>
        <v/>
      </c>
      <c r="EE15" s="66" t="str">
        <f>IF(OR(AND(V15="",Q15&lt;&gt;"")),VLOOKUP(Q15,Data!$FC$2:$FD$18,2,FALSE),"")</f>
        <v/>
      </c>
      <c r="EF15" s="162" t="e">
        <f>VLOOKUP(N15,Data!$MK$2:$ML$8,2,FALSE)</f>
        <v>#N/A</v>
      </c>
      <c r="EG15" s="66" t="e">
        <f>VLOOKUP(P15,Data!$DO$4:$DO$158,1,FALSE)</f>
        <v>#N/A</v>
      </c>
      <c r="EH15" s="66" t="e">
        <f t="shared" si="39"/>
        <v>#N/A</v>
      </c>
      <c r="EI15" s="55" t="str">
        <f t="shared" si="40"/>
        <v/>
      </c>
      <c r="EJ15" s="162" t="str">
        <f t="shared" si="41"/>
        <v>OK</v>
      </c>
      <c r="EK15" s="405" t="str">
        <f>Data!$JI$19</f>
        <v>TopBottomFrameAir</v>
      </c>
      <c r="EL15" s="405" t="b">
        <f>IF(G15=Data!$JH$18,EK15,EM15)</f>
        <v>0</v>
      </c>
      <c r="EM15" s="174" t="b">
        <f>IF(Q15=Data!$NN$3,Data!$NO$2, IF(Q15=Data!$NN$4,Data!$NP$2, IF(Q15=Data!$NN$5,Data!$NQ$2, IF(Q15=Data!$NN$6,Data!$NR$2, IF(Q15=Data!$NN$7,Data!$NS$2, IF(Q15=Data!$NN$8,Data!$NT$2, IF(Q15=Data!$NN$9,Data!$NU$2, IF(Q15=Data!$NN$10,Data!$NV$2, IF(Q15=Data!$NN$11,Data!$NW$2, IF(Q15=Data!$NN$12,Data!$NX$2, IF(Q15=Data!$NN$13,Data!$NY$2, IF(Q15=Data!$NN$14,Data!$NZ$2, IF(Q15=Data!$NN$15,Data!$OA$2, IF(Q15=Data!$NN$16,Data!$OB$2, IF(Q15=Data!$NN$17,Data!$OC$2, IF(Q15=Data!$NN$18,Data!$OD$2, IF(Q15=Data!$NN$19,Data!$OE$2, IF(Q15=Data!$NN$20,Data!$OG$2, IF(Q15=Data!$NN$25,Data!$NT$2, IF(Q15=Data!$NN$26,Data!$NT$2, IF(Q15=Data!$NN$27,Data!$NT$2, IF(Q15=Data!$NN$28,Data!$OH$2))))))))))))))))))))))</f>
        <v>0</v>
      </c>
      <c r="EN15" s="174" t="b">
        <f>IF(O15=$EN$7,Data!$OD$15,'Shutters Page 2'!EO15)</f>
        <v>0</v>
      </c>
      <c r="EO15" s="174" t="b">
        <f>IF(Q15=Data!$NN$3,Data!$NO$15,IF(Q15=Data!$NN$4,Data!$NP$15,IF(Q15=Data!$NN$5,Data!$NQ$15,IF(Q15=Data!$NN$6,Data!$NR$15,IF(Q15=Data!$NN$7,Data!$NS$15,IF(Q15=Data!$NN$8,Data!$NT$15,IF(Q15=Data!$NN$9,Data!$NU$15,IF(Q15=Data!$NN$10,Data!$NV$15,IF(Q15=Data!$NN$11,Data!$NW$15,IF(Q15=Data!$NN$12,Data!$NX$15,IF(Q15=Data!$NN$13,Data!$NY$15,IF(Q15=Data!$NN$14,Data!$NZ$15,IF(N15=Data!$NN$22,Data!$OA$15,IF(N15=Data!$NN$23,Data!$OB$15,IF(Q15=Data!$NN$19,Data!$OC$15, IF(Q15=Data!$NN$20,Data!$OG$15,IF(Q15=Data!$NN$25,Data!$NT$15,IF(Q15=Data!$NN$26,Data!$NT$15,IF(Q15=Data!$NN$27,Data!$NT$15,IF(Q15=Data!$NN$28,Data!$OH$15))))))))))))))))))))</f>
        <v>0</v>
      </c>
      <c r="EP15" s="406" t="str">
        <f>Data!$JI$19</f>
        <v>TopBottomFrameAir</v>
      </c>
      <c r="EQ15" s="406" t="b">
        <f>IF(G15=Data!$JH$18,EP15,EN15)</f>
        <v>0</v>
      </c>
      <c r="ER15" s="351" t="e">
        <f>MATCH(G15,Data!$CW$10:$CW$14,0)</f>
        <v>#N/A</v>
      </c>
      <c r="ES15" s="174" t="e">
        <f>MATCH(J15,Data!$CX$9:$DA$9,0)</f>
        <v>#N/A</v>
      </c>
      <c r="ET15" s="355" t="e">
        <f>INDEX(Data!$CX$10:$DA$14,'Shutters Page 2'!ER15,'Shutters Page 2'!ES15)</f>
        <v>#N/A</v>
      </c>
      <c r="EU15" s="355" t="e">
        <f>VLOOKUP(H15,Data!$BD$81:$BE$115,2,FALSE)</f>
        <v>#N/A</v>
      </c>
      <c r="EV15" s="355" t="e">
        <f>IF(EU15=Data!$BB$80,Data!$CW$20,'Shutters Page 2'!ET15)</f>
        <v>#N/A</v>
      </c>
      <c r="EW15" s="174" t="str">
        <f>IF(SUM(--ISNUMBER(SEARCH({"combo","Combo","COMBO"}, B32))),"Yes","No")</f>
        <v>No</v>
      </c>
      <c r="EX15" s="174" t="str">
        <f>IF(SUM(--ISNUMBER(SEARCH({"combo","Combo","COMBO"}, F32))),"Yes","No")</f>
        <v>No</v>
      </c>
      <c r="EY15" s="174" t="str">
        <f t="shared" si="60"/>
        <v>No</v>
      </c>
      <c r="EZ15" s="162">
        <f t="shared" si="42"/>
        <v>1</v>
      </c>
      <c r="FA15" s="162" t="e">
        <f t="shared" si="43"/>
        <v>#DIV/0!</v>
      </c>
      <c r="FB15" s="174" t="str">
        <f t="shared" si="44"/>
        <v/>
      </c>
      <c r="FC15" s="351" t="str">
        <f t="shared" si="45"/>
        <v/>
      </c>
      <c r="FD15" s="351" t="str">
        <f t="shared" si="46"/>
        <v/>
      </c>
      <c r="FE15" s="174" t="str">
        <f t="shared" si="47"/>
        <v/>
      </c>
      <c r="FF15" s="174" t="str">
        <f t="shared" si="48"/>
        <v/>
      </c>
      <c r="FG15" s="174" t="str">
        <f t="shared" si="49"/>
        <v/>
      </c>
      <c r="FH15" s="278" t="str">
        <f t="shared" si="61"/>
        <v>No</v>
      </c>
      <c r="FI15" s="351" t="e">
        <f>MATCH(G15,Data!$FH$18:$FL$18,0)</f>
        <v>#N/A</v>
      </c>
      <c r="FJ15" s="174" t="e">
        <f>MATCH(N15,Data!$FG$19:$FG$25,0)</f>
        <v>#N/A</v>
      </c>
      <c r="FK15" s="351" t="e">
        <f>INDEX(Data!$FH$19:$FL$25,'Shutters Page 2'!FJ15,'Shutters Page 2'!FI15)</f>
        <v>#N/A</v>
      </c>
      <c r="FL15" s="411" t="e">
        <f>MATCH(G15,Data!$FH$53:$FI$53,0)</f>
        <v>#N/A</v>
      </c>
      <c r="FM15" s="411" t="e">
        <f>MATCH(N15,Data!$FG$54:$FG$60,0)</f>
        <v>#N/A</v>
      </c>
      <c r="FN15" s="411" t="e">
        <f>INDEX(Data!$FH$54:$FI$60,'Shutters Page 2'!FM15,'Shutters Page 2'!FL15)</f>
        <v>#N/A</v>
      </c>
      <c r="FO15" s="411" t="e">
        <f>IF(E15=Data!$FH$35,'Shutters Page 2'!FN15,'Shutters Page 2'!FK15)</f>
        <v>#N/A</v>
      </c>
      <c r="FP15" s="351" t="e">
        <f>MATCH(G15,Data!$ME$26:$MG$26,0)</f>
        <v>#N/A</v>
      </c>
      <c r="FQ15" s="174" t="e">
        <f>MATCH(E15,Data!$MD$27:$MD$29,0)</f>
        <v>#N/A</v>
      </c>
      <c r="FR15" s="351" t="e">
        <f>INDEX(Data!$ME$27:$MG$29, 'Shutters Page 2'!FQ15, 'Shutters Page 2'!FP15)</f>
        <v>#N/A</v>
      </c>
      <c r="FS15" s="351" t="e">
        <f>MATCH(G15,Data!$AAF$1:$AAH$1,0)</f>
        <v>#N/A</v>
      </c>
      <c r="FT15" s="174" t="e">
        <f>MATCH(N15,Data!$AAE$2:$AAE$8,0)</f>
        <v>#N/A</v>
      </c>
      <c r="FU15" s="351" t="e">
        <f>INDEX(Data!$AAF$2:$AAH$8, 'Shutters Page 2'!FT15, 'Shutters Page 2'!FS15)</f>
        <v>#N/A</v>
      </c>
      <c r="FV15" s="351" t="e">
        <f>MATCH(G15,Data!$AAF$12:$AAH$12,0)</f>
        <v>#N/A</v>
      </c>
      <c r="FW15" s="174" t="e">
        <f>MATCH(N15,Data!$AAE$13:$AAE$19,0)</f>
        <v>#N/A</v>
      </c>
      <c r="FX15" s="351" t="e">
        <f>INDEX(Data!$AAF$13:$AAH$19, 'Shutters Page 2'!FW15, 'Shutters Page 2'!FV15)</f>
        <v>#N/A</v>
      </c>
      <c r="FY15" s="351" t="e">
        <f>MATCH(G15,Data!$AAK$1:$AAM$1,0)</f>
        <v>#N/A</v>
      </c>
      <c r="FZ15" s="174" t="e">
        <f>MATCH(Q15,Data!$AAJ$2,0)</f>
        <v>#N/A</v>
      </c>
      <c r="GA15" s="351" t="e">
        <f>INDEX(Data!$AAK$2:$AAM$2, 'Shutters Page 2'!FZ15, 'Shutters Page 2'!FY15)</f>
        <v>#N/A</v>
      </c>
      <c r="GB15" s="351" t="e">
        <f>MATCH(G15,Data!$AAK$12:$AAM$12,0)</f>
        <v>#N/A</v>
      </c>
      <c r="GC15" s="174" t="e">
        <f>MATCH(Q15,Data!$AAJ$13,0)</f>
        <v>#N/A</v>
      </c>
      <c r="GD15" s="351" t="e">
        <f>INDEX(Data!$AAK$13:$AAM$13, 'Shutters Page 2'!GC15, 'Shutters Page 2'!GB15)</f>
        <v>#N/A</v>
      </c>
      <c r="GE15" s="162" t="e">
        <f>VLOOKUP(H15,Data!$AAR$1:$AAS$35,2,FALSE)</f>
        <v>#N/A</v>
      </c>
      <c r="GF15" s="162" t="e">
        <f t="shared" si="50"/>
        <v>#N/A</v>
      </c>
      <c r="GG15" s="162" t="e">
        <f t="shared" si="51"/>
        <v>#N/A</v>
      </c>
      <c r="GH15" s="162" t="e">
        <f t="shared" si="52"/>
        <v>#N/A</v>
      </c>
      <c r="GI15" s="162" t="str">
        <f>IF(G15=Data!$NC$1,Data!$ND$1,Data!$NE$1)</f>
        <v>FauxwoodStile</v>
      </c>
      <c r="GL15" s="55" t="e">
        <f>VLOOKUP('Shutters Page 2'!H15,Data!$BD$81:$BE$115,2,FALSE)</f>
        <v>#N/A</v>
      </c>
      <c r="GM15" s="55" t="e">
        <f>IF(GL15=Data!$BB$80,"Yes", "No")</f>
        <v>#N/A</v>
      </c>
      <c r="GN15" s="55" t="e">
        <f>IF(GM15="Yes",Data!$EJ$57,'Shutters Page 2'!EB15)</f>
        <v>#N/A</v>
      </c>
      <c r="GQ15" s="55" t="b">
        <f>IF(G15=$GQ$6,Data!$EN$47,IF(G15='Shutters Page 2'!$GQ$7,Data!$EM$47))</f>
        <v>0</v>
      </c>
    </row>
    <row r="16" spans="1:199" ht="36.75" customHeight="1">
      <c r="A16" s="53">
        <v>8</v>
      </c>
      <c r="B16" s="17"/>
      <c r="C16" s="14"/>
      <c r="D16" s="14"/>
      <c r="E16" s="14"/>
      <c r="F16" s="10"/>
      <c r="G16" s="13"/>
      <c r="H16" s="555"/>
      <c r="I16" s="603"/>
      <c r="J16" s="14"/>
      <c r="K16" s="149" t="str">
        <f t="shared" si="0"/>
        <v/>
      </c>
      <c r="L16" s="15"/>
      <c r="M16" s="15"/>
      <c r="N16" s="15"/>
      <c r="O16" s="15"/>
      <c r="P16" s="15"/>
      <c r="Q16" s="486"/>
      <c r="R16" s="486"/>
      <c r="S16" s="13"/>
      <c r="T16" s="13"/>
      <c r="U16" s="13"/>
      <c r="V16" s="13"/>
      <c r="W16" s="15"/>
      <c r="X16" s="15"/>
      <c r="Y16" s="16"/>
      <c r="Z16" s="16"/>
      <c r="AA16" s="14"/>
      <c r="AB16" s="14"/>
      <c r="AC16" s="14"/>
      <c r="AD16" s="386"/>
      <c r="AE16" s="169" t="str">
        <f t="shared" si="1"/>
        <v/>
      </c>
      <c r="AF16" s="236"/>
      <c r="AG16" s="237"/>
      <c r="AI16" s="55">
        <f t="shared" si="2"/>
        <v>0</v>
      </c>
      <c r="AJ16" s="55">
        <f t="shared" si="3"/>
        <v>0</v>
      </c>
      <c r="AK16" s="55">
        <f>IF(P16&lt;&gt;"",VLOOKUP(P16,Data!$AAY$2:$AAZ$44,2,FALSE),0)</f>
        <v>0</v>
      </c>
      <c r="AL16" s="55" t="str">
        <f>IF(E16=Data!$BB$10,Data!$BC$10,Data!$BC$2)</f>
        <v>ShutterMaterial</v>
      </c>
      <c r="AP16" s="55" t="str">
        <f t="shared" si="53"/>
        <v>SlidingSystemNA</v>
      </c>
      <c r="AV16" s="114" t="str">
        <f t="shared" si="4"/>
        <v/>
      </c>
      <c r="AW16" s="66" t="e">
        <f t="shared" si="5"/>
        <v>#N/A</v>
      </c>
      <c r="AX16" s="174" t="e">
        <f>VLOOKUP(Q16,Data!$MI$2:$MJ$4,2,FALSE)</f>
        <v>#N/A</v>
      </c>
      <c r="AY16" s="174" t="e">
        <f t="shared" si="6"/>
        <v>#N/A</v>
      </c>
      <c r="AZ16" s="174" t="e">
        <f>VLOOKUP(N16,Data!$BI$24:$BJ$30,2,FALSE)</f>
        <v>#N/A</v>
      </c>
      <c r="BA16" s="160" t="b">
        <f>IF(G16=Data!$BO$2,Data!$BS$2, IF('Shutters Page 2'!G16=Data!$BP$2,Data!$BT$2, IF('Shutters Page 2'!G16=Data!$BQ$2,Data!$BU$2)))</f>
        <v>0</v>
      </c>
      <c r="BB16" s="361" t="str">
        <f t="shared" si="7"/>
        <v>No</v>
      </c>
      <c r="BC16" s="160" t="e">
        <f t="shared" si="8"/>
        <v>#DIV/0!</v>
      </c>
      <c r="BD16" s="361" t="e">
        <f t="shared" si="9"/>
        <v>#DIV/0!</v>
      </c>
      <c r="BE16" s="160" t="e">
        <f t="shared" si="10"/>
        <v>#DIV/0!</v>
      </c>
      <c r="BF16" s="361" t="str">
        <f t="shared" si="11"/>
        <v>No</v>
      </c>
      <c r="BG16" s="160" t="str">
        <f t="shared" si="12"/>
        <v>NotRequired</v>
      </c>
      <c r="BH16" s="160" t="b">
        <f>IF(G16=Data!$BO$2,Data!$CM$2, IF('Shutters Page 2'!G16=Data!$BP$2,Data!$CN$2, IF('Shutters Page 2'!G16=Data!$BQ$2,Data!$CO$2)))</f>
        <v>0</v>
      </c>
      <c r="BI16" s="160" t="e">
        <f t="shared" si="54"/>
        <v>#DIV/0!</v>
      </c>
      <c r="BJ16" s="161" t="str">
        <f t="shared" si="13"/>
        <v>NoHighlight</v>
      </c>
      <c r="BK16" s="361" t="str">
        <f t="shared" si="14"/>
        <v>FauxwoodRPNo</v>
      </c>
      <c r="BL16" s="161" t="str">
        <f>IF(SUM(--ISNUMBER( SEARCH({"t","T"},P16))),"Yes","No")</f>
        <v>No</v>
      </c>
      <c r="BM16" s="161" t="str">
        <f t="shared" si="15"/>
        <v>OK</v>
      </c>
      <c r="BN16" s="161" t="str">
        <f t="shared" si="16"/>
        <v>OK</v>
      </c>
      <c r="BO16" s="161" t="str">
        <f t="shared" si="17"/>
        <v>OK</v>
      </c>
      <c r="BP16" s="161" t="e">
        <f>IF(OR(AND(F16&gt;1,#REF!="L",#REF!="l"),AND(F16&gt;1,#REF!="R",#REF!="r"),AND(F16&gt;2,#REF!="LR",#REF!="lr")), "Error","OK")</f>
        <v>#REF!</v>
      </c>
      <c r="BQ16" s="161" t="str">
        <f t="shared" si="18"/>
        <v>FauxwoodAINo</v>
      </c>
      <c r="BR16" s="161" t="str">
        <f>IF(SUM(--ISNUMBER(SEARCH({"combo","Combo","COMBO"}, B33))),"Yes","No")</f>
        <v>No</v>
      </c>
      <c r="BS16" s="161" t="str">
        <f t="shared" si="55"/>
        <v>No</v>
      </c>
      <c r="BT16" s="161" t="str">
        <f>IF(SUM(--ISNUMBER( SEARCH({"c","C","b","B"},#REF!))),"Yes","No")</f>
        <v>No</v>
      </c>
      <c r="BU16" s="162">
        <f t="shared" si="19"/>
        <v>0</v>
      </c>
      <c r="BV16" s="174" t="str">
        <f>IF(N16=Data!$BI$3,Data!$DR$3,IF(N16=Data!$BI$4,Data!$DS$3,IF(N16=Data!$BI$5,Data!$DT$3,IF(N16=Data!$BI$6,Data!$DU$3,IF(N16=Data!$BI$7,Data!$DV$3, IF(N16=Data!$BI$8,Data!$DX$3, IF(N16=Data!$BI$9,Data!$DW$3, "")))))))</f>
        <v/>
      </c>
      <c r="BW16" s="174" t="str">
        <f>IF(N16=Data!$BI$3,Data!$DY$3,IF(N16=Data!$BI$4,Data!$DZ$3,IF(N16=Data!$BI$5,Data!$EA$3,IF(N16=Data!$BI$6,Data!$EB$3,IF(N16=Data!$BI$7,Data!$EC$3,IF(N16=Data!$BI$8,Data!$EE$3, IF(N16=Data!$BI$9,Data!$ED$3,"")))))))</f>
        <v/>
      </c>
      <c r="BX16" s="162">
        <f t="shared" si="20"/>
        <v>0</v>
      </c>
      <c r="BY16" s="162">
        <f t="shared" si="21"/>
        <v>0</v>
      </c>
      <c r="BZ16" s="174" t="e">
        <f t="shared" si="22"/>
        <v>#DIV/0!</v>
      </c>
      <c r="CA16" s="351" t="b">
        <f>IF(G16=Data!$EU$2,Data!$ES$2,IF(G16=Data!$EU$3,Data!$ER$2, IF(G16=Data!$EU$5,Data!$ET$2, IF(G16=Data!$EU$4,Data!$EQ$2,IF(G16=Data!$EU$6,Data!$ER$2)))))</f>
        <v>0</v>
      </c>
      <c r="CB16" s="351" t="b">
        <f>IF(G16=Data!$EU$2,Data!$EW$2,IF(G16=Data!$EU$3,Data!$EX$2,IF(G16=Data!$EU$4,Data!$EY$2, IF(G16=Data!$EU$5,Data!$EY$2,IF(G16=Data!$EU$6,Data!$EX$2)))))</f>
        <v>0</v>
      </c>
      <c r="CC16" s="174" t="e">
        <f>VLOOKUP(M16,Data!$EJ$3:$EK$15,2,FALSE)</f>
        <v>#N/A</v>
      </c>
      <c r="CD16" s="174" t="str">
        <f>IF(J16="114mm",VLOOKUP(H16,Data!$FA$2:$FB$18,2,FALSE),"OK")</f>
        <v>OK</v>
      </c>
      <c r="CE16" s="174" t="e">
        <f t="shared" si="23"/>
        <v>#DIV/0!</v>
      </c>
      <c r="CF16" s="174" t="str">
        <f>IF(OR(AND(S16="",Q16&lt;&gt;"")),VLOOKUP(Q16,Data!$FC$2:$FD$19,2,FALSE),"")</f>
        <v/>
      </c>
      <c r="CG16" s="174" t="str">
        <f>IF(N16=Data!$BI$3,Data!$FJ$1,IF(N16=Data!$BI$4,Data!$FK$1,IF(N16=Data!$BI$5,Data!$FL$1,IF(N16=Data!$BI$6,Data!$FM$1,IF(N16=Data!$BI$7,Data!$FN$1, IF(N16=Data!$BI$8,Data!$FO$1, IF(N16=Data!$BI$9,Data!$FI$1, "")))))))</f>
        <v/>
      </c>
      <c r="CH16" s="174" t="str">
        <f>IF(SUM(--ISNUMBER(SEARCH({"z","Z"}, Q16))),"Yes","No")</f>
        <v>No</v>
      </c>
      <c r="CI16" s="174" t="str">
        <f t="shared" si="24"/>
        <v>OK</v>
      </c>
      <c r="CJ16" s="174">
        <f t="shared" si="25"/>
        <v>0</v>
      </c>
      <c r="CK16" s="174" t="e">
        <f>VLOOKUP(P16,Data!$DO$4:$DP$157,2,FALSE)</f>
        <v>#N/A</v>
      </c>
      <c r="CL16" s="174" t="e">
        <f t="shared" si="26"/>
        <v>#N/A</v>
      </c>
      <c r="CM16" s="162"/>
      <c r="CN16" s="162"/>
      <c r="CO16" s="162"/>
      <c r="CP16" s="366" t="str">
        <f t="shared" si="27"/>
        <v>OK</v>
      </c>
      <c r="CQ16" s="174" t="b">
        <f t="shared" si="28"/>
        <v>0</v>
      </c>
      <c r="CR16" s="174">
        <f t="shared" si="29"/>
        <v>0</v>
      </c>
      <c r="CS16" s="174">
        <f t="shared" si="30"/>
        <v>1</v>
      </c>
      <c r="CT16" s="174">
        <f t="shared" si="56"/>
        <v>0</v>
      </c>
      <c r="CU16" s="162" t="e">
        <f t="shared" si="31"/>
        <v>#DIV/0!</v>
      </c>
      <c r="CV16" s="162" t="e">
        <f>VLOOKUP(H16,Data!$BD$81:$BE$111,2,FALSE)</f>
        <v>#N/A</v>
      </c>
      <c r="CW16" s="174" t="str">
        <f t="shared" si="32"/>
        <v/>
      </c>
      <c r="CX16" s="292" t="str">
        <f>IF(H16=Data!$BE$3,Data!$HQ$2, IF(H16=Data!$BE$4,Data!$HP$2, IF(H16=Data!$BE$5,Data!$HR$2, IF(H16=Data!$BE$6,Data!$HO$2))))</f>
        <v>Super WhiteNA</v>
      </c>
      <c r="CY16" s="351" t="b">
        <f>IF(H16=Data!$BH$3,Data!$HU$2, IF(H16=Data!$BH$4,Data!$HT$2, IF(H16=Data!$BH$5,Data!$HS$2)))</f>
        <v>0</v>
      </c>
      <c r="CZ16" s="351" t="b">
        <f>IF(H16=Data!$BF$3,Data!$HQ$16, IF(H16=Data!$BF$4,Data!$HP$16, IF(H16=Data!$BF$5,Data!$HR$16, IF(H16=Data!$BF$6,Data!$HO$16))))</f>
        <v>0</v>
      </c>
      <c r="DA16" s="351" t="b">
        <f>IF(G16=Data!$BC$3,'Shutters Page 2'!CW16,IF(G16=Data!$BC$4,'Shutters Page 2'!CX16,IF(G16=Data!$BC$6,'Shutters Page 2'!CY16, IF(G16=Data!$BC$5, 'Shutters Page 2'!CX16,IF(G16=Data!$BC$7,'Shutters Page 2'!CX16)))))</f>
        <v>0</v>
      </c>
      <c r="DB16" s="162" t="e">
        <f>IF(OR(AND(L16&gt;0,#REF!="")), "Error","OK")</f>
        <v>#REF!</v>
      </c>
      <c r="DC16" s="174" t="e">
        <f>IF(COUNTIF(#REF!,Data!$CX$6),"Yes","")</f>
        <v>#REF!</v>
      </c>
      <c r="DD16" s="55" t="str">
        <f t="shared" si="33"/>
        <v/>
      </c>
      <c r="DG16" s="55" t="str">
        <f>IF(N16=Data!$BI$5,"Yes",IF(N16=Data!$BI$6,"Yes","No"))</f>
        <v>No</v>
      </c>
      <c r="DH16" s="66" t="b">
        <f>IF(N16=Data!$BI$3,Data!$JB$2,IF(N16=Data!$BI$4,Data!$JC$2,IF(N16=Data!$BI$5,Data!$JD$2,IF(N16=Data!$BI$6,DI16,IF(N16=Data!$BI$7,Data!$JF$2, IF(N16=Data!$BI$8,Data!$JA$2, IF(N16=Data!$BI$9,Data!$JG$2)))))))</f>
        <v>0</v>
      </c>
      <c r="DI16" s="55" t="e">
        <f>VLOOKUP(P16,Data!$AAY$2:$ABA$44,3,FALSE)</f>
        <v>#N/A</v>
      </c>
      <c r="DK16" s="66" t="e">
        <f>VLOOKUP(P16,Data!$DO$4:$DQ$157,3,FALSE)</f>
        <v>#N/A</v>
      </c>
      <c r="DL16" s="55" t="e">
        <f t="shared" si="34"/>
        <v>#N/A</v>
      </c>
      <c r="DM16" s="55" t="e">
        <f t="shared" si="57"/>
        <v>#N/A</v>
      </c>
      <c r="DN16" s="162" t="b">
        <f>IF(Q16=Data!$BK$3,Data!$JH$2,IF(Q16=Data!$BK$4,Data!$JI$2,IF(Q16=Data!$BK$5,Data!$JJ$2,IF(Q16=Data!$BK$6,Data!$JK$2,IF(Q16=Data!$BK$7,Data!$JL$2,IF(Q16=Data!$BK$8,Data!$JM$2,IF(Q16=Data!$BK$9,Data!$JN$2,IF(Q16=Data!$BK$10,Data!$JO$2,IF(Q16=Data!$BK$11,Data!$JP$2,IF(Q16=Data!$BK$12,Data!$JQ$2,IF(Q16=Data!$BK$13,Data!$JR$2,IF(Q16=Data!$BK$14,Data!$JS$2,IF(Q16=Data!$BK$15,Data!$JT$2,IF(Q16=Data!$BK$16,Data!$JU$2,IF(Q16=Data!$BK$17,Data!$JV$2,IF(Q16=Data!$BK$18,Data!$JW$2, IF(Q16=Data!$BK$19,Data!$JX$2, IF(Q16=Data!$BK$20,Data!$JY$2, IF(Q16=Data!$BK$21,Data!$JN$2, IF(Q16=Data!$BK$22,Data!$JN$2, IF(Q16=Data!$BK$23,Data!$JN$2, IF(Q16=Data!$BK$24,Data!$JL$19))))))))))))))))))))))</f>
        <v>0</v>
      </c>
      <c r="DO16" s="55" t="str">
        <f>Data!$JH$19</f>
        <v>LRFrameAir</v>
      </c>
      <c r="DP16" s="55" t="b">
        <f>IF(G16=Data!$JH$18,'Shutters Page 2'!DO16,'Shutters Page 2'!DN16)</f>
        <v>0</v>
      </c>
      <c r="DR16" s="174" t="str">
        <f t="shared" si="58"/>
        <v/>
      </c>
      <c r="DS16" s="174" t="e">
        <f t="shared" si="59"/>
        <v>#N/A</v>
      </c>
      <c r="DT16" s="174" t="str">
        <f t="shared" si="35"/>
        <v>OK</v>
      </c>
      <c r="DU16" s="174" t="str">
        <f t="shared" si="36"/>
        <v>OK</v>
      </c>
      <c r="DV16" s="174" t="str">
        <f t="shared" si="37"/>
        <v>OK</v>
      </c>
      <c r="DW16" s="174" t="str">
        <f t="shared" si="38"/>
        <v>OK</v>
      </c>
      <c r="DX16" s="66" t="b">
        <f>IF(N16=Data!$LW$2,Data!$LX$1,IF(N16=Data!$LW$3,Data!$LY$1,IF(N16=Data!$LW$4,Data!$LZ$1,IF(N16=Data!$LW$5,Data!$MA$1,IF(N16=Data!$LW$6,Data!$MB$1,IF(N16=Data!$LW$7,Data!$MC$1, IF(N16=Data!$LW$8,Data!$MX$1)))))))</f>
        <v>0</v>
      </c>
      <c r="DY16" s="66" t="b">
        <f>IF(N16=Data!$LW$2,Data!$LX$147,IF(N16=Data!$LW$7,Data!$MC$1))</f>
        <v>0</v>
      </c>
      <c r="DZ16" s="66" t="b">
        <f>IF(G16=Data!$BC$3,'Shutters Page 2'!DX16,IF(G16=Data!$BC$5,'Shutters Page 2'!DY16))</f>
        <v>0</v>
      </c>
      <c r="EA16" s="66" t="b">
        <f>IF(E16=Data!$MD$2,Data!$ME$2, IF(E16=Data!$MD$3,Data!$MF$2, IF(E16=Data!$MD$4,Data!$MG$2)))</f>
        <v>0</v>
      </c>
      <c r="EB16" s="162" t="str">
        <f>IF(E16="MS",Data!$AK$1,IF(G16=Data!$BC$5,Data!$EJ$40,IF(G16=Data!$BC$4,Data!$EJ$20,Data!$EJ$2)))</f>
        <v>Special_Window_Timber</v>
      </c>
      <c r="EC16" s="66" t="str">
        <f>IF(OR(AND(T16="",Q16&lt;&gt;"")),VLOOKUP(Q16,Data!$FC$2:$FD$18,2,FALSE),"")</f>
        <v/>
      </c>
      <c r="ED16" s="66" t="str">
        <f>IF(OR(AND(U16="",Q16&lt;&gt;"")),VLOOKUP(Q16,Data!$FC$2:$FD$18,2,FALSE),"")</f>
        <v/>
      </c>
      <c r="EE16" s="66" t="str">
        <f>IF(OR(AND(V16="",Q16&lt;&gt;"")),VLOOKUP(Q16,Data!$FC$2:$FD$18,2,FALSE),"")</f>
        <v/>
      </c>
      <c r="EF16" s="162" t="e">
        <f>VLOOKUP(N16,Data!$MK$2:$ML$8,2,FALSE)</f>
        <v>#N/A</v>
      </c>
      <c r="EG16" s="66" t="e">
        <f>VLOOKUP(P16,Data!$DO$4:$DO$158,1,FALSE)</f>
        <v>#N/A</v>
      </c>
      <c r="EH16" s="66" t="e">
        <f t="shared" si="39"/>
        <v>#N/A</v>
      </c>
      <c r="EI16" s="55" t="str">
        <f t="shared" si="40"/>
        <v/>
      </c>
      <c r="EJ16" s="162" t="str">
        <f t="shared" si="41"/>
        <v>OK</v>
      </c>
      <c r="EK16" s="405" t="str">
        <f>Data!$JI$19</f>
        <v>TopBottomFrameAir</v>
      </c>
      <c r="EL16" s="405" t="b">
        <f>IF(G16=Data!$JH$18,EK16,EM16)</f>
        <v>0</v>
      </c>
      <c r="EM16" s="174" t="b">
        <f>IF(Q16=Data!$NN$3,Data!$NO$2, IF(Q16=Data!$NN$4,Data!$NP$2, IF(Q16=Data!$NN$5,Data!$NQ$2, IF(Q16=Data!$NN$6,Data!$NR$2, IF(Q16=Data!$NN$7,Data!$NS$2, IF(Q16=Data!$NN$8,Data!$NT$2, IF(Q16=Data!$NN$9,Data!$NU$2, IF(Q16=Data!$NN$10,Data!$NV$2, IF(Q16=Data!$NN$11,Data!$NW$2, IF(Q16=Data!$NN$12,Data!$NX$2, IF(Q16=Data!$NN$13,Data!$NY$2, IF(Q16=Data!$NN$14,Data!$NZ$2, IF(Q16=Data!$NN$15,Data!$OA$2, IF(Q16=Data!$NN$16,Data!$OB$2, IF(Q16=Data!$NN$17,Data!$OC$2, IF(Q16=Data!$NN$18,Data!$OD$2, IF(Q16=Data!$NN$19,Data!$OE$2, IF(Q16=Data!$NN$20,Data!$OG$2, IF(Q16=Data!$NN$25,Data!$NT$2, IF(Q16=Data!$NN$26,Data!$NT$2, IF(Q16=Data!$NN$27,Data!$NT$2, IF(Q16=Data!$NN$28,Data!$OH$2))))))))))))))))))))))</f>
        <v>0</v>
      </c>
      <c r="EN16" s="174" t="b">
        <f>IF(O16=$EN$7,Data!$OD$15,'Shutters Page 2'!EO16)</f>
        <v>0</v>
      </c>
      <c r="EO16" s="174" t="b">
        <f>IF(Q16=Data!$NN$3,Data!$NO$15,IF(Q16=Data!$NN$4,Data!$NP$15,IF(Q16=Data!$NN$5,Data!$NQ$15,IF(Q16=Data!$NN$6,Data!$NR$15,IF(Q16=Data!$NN$7,Data!$NS$15,IF(Q16=Data!$NN$8,Data!$NT$15,IF(Q16=Data!$NN$9,Data!$NU$15,IF(Q16=Data!$NN$10,Data!$NV$15,IF(Q16=Data!$NN$11,Data!$NW$15,IF(Q16=Data!$NN$12,Data!$NX$15,IF(Q16=Data!$NN$13,Data!$NY$15,IF(Q16=Data!$NN$14,Data!$NZ$15,IF(N16=Data!$NN$22,Data!$OA$15,IF(N16=Data!$NN$23,Data!$OB$15,IF(Q16=Data!$NN$19,Data!$OC$15, IF(Q16=Data!$NN$20,Data!$OG$15,IF(Q16=Data!$NN$25,Data!$NT$15,IF(Q16=Data!$NN$26,Data!$NT$15,IF(Q16=Data!$NN$27,Data!$NT$15,IF(Q16=Data!$NN$28,Data!$OH$15))))))))))))))))))))</f>
        <v>0</v>
      </c>
      <c r="EP16" s="406" t="str">
        <f>Data!$JI$19</f>
        <v>TopBottomFrameAir</v>
      </c>
      <c r="EQ16" s="406" t="b">
        <f>IF(G16=Data!$JH$18,EP16,EN16)</f>
        <v>0</v>
      </c>
      <c r="ER16" s="351" t="e">
        <f>MATCH(G16,Data!$CW$10:$CW$14,0)</f>
        <v>#N/A</v>
      </c>
      <c r="ES16" s="174" t="e">
        <f>MATCH(J16,Data!$CX$9:$DA$9,0)</f>
        <v>#N/A</v>
      </c>
      <c r="ET16" s="355" t="e">
        <f>INDEX(Data!$CX$10:$DA$14,'Shutters Page 2'!ER16,'Shutters Page 2'!ES16)</f>
        <v>#N/A</v>
      </c>
      <c r="EU16" s="355" t="e">
        <f>VLOOKUP(H16,Data!$BD$81:$BE$115,2,FALSE)</f>
        <v>#N/A</v>
      </c>
      <c r="EV16" s="355" t="e">
        <f>IF(EU16=Data!$BB$80,Data!$CW$20,'Shutters Page 2'!ET16)</f>
        <v>#N/A</v>
      </c>
      <c r="EW16" s="174" t="str">
        <f>IF(SUM(--ISNUMBER(SEARCH({"combo","Combo","COMBO"}, B33))),"Yes","No")</f>
        <v>No</v>
      </c>
      <c r="EX16" s="174" t="str">
        <f>IF(SUM(--ISNUMBER(SEARCH({"combo","Combo","COMBO"}, F33))),"Yes","No")</f>
        <v>No</v>
      </c>
      <c r="EY16" s="174" t="str">
        <f t="shared" si="60"/>
        <v>No</v>
      </c>
      <c r="EZ16" s="162">
        <f t="shared" si="42"/>
        <v>1</v>
      </c>
      <c r="FA16" s="162" t="e">
        <f t="shared" si="43"/>
        <v>#DIV/0!</v>
      </c>
      <c r="FB16" s="174" t="str">
        <f t="shared" si="44"/>
        <v/>
      </c>
      <c r="FC16" s="351" t="str">
        <f t="shared" si="45"/>
        <v/>
      </c>
      <c r="FD16" s="351" t="str">
        <f t="shared" si="46"/>
        <v/>
      </c>
      <c r="FE16" s="174" t="str">
        <f t="shared" si="47"/>
        <v/>
      </c>
      <c r="FF16" s="174" t="str">
        <f t="shared" si="48"/>
        <v/>
      </c>
      <c r="FG16" s="174" t="str">
        <f t="shared" si="49"/>
        <v/>
      </c>
      <c r="FH16" s="278" t="str">
        <f t="shared" si="61"/>
        <v>No</v>
      </c>
      <c r="FI16" s="351" t="e">
        <f>MATCH(G16,Data!$FH$18:$FL$18,0)</f>
        <v>#N/A</v>
      </c>
      <c r="FJ16" s="174" t="e">
        <f>MATCH(N16,Data!$FG$19:$FG$25,0)</f>
        <v>#N/A</v>
      </c>
      <c r="FK16" s="351" t="e">
        <f>INDEX(Data!$FH$19:$FL$25,'Shutters Page 2'!FJ16,'Shutters Page 2'!FI16)</f>
        <v>#N/A</v>
      </c>
      <c r="FL16" s="411" t="e">
        <f>MATCH(G16,Data!$FH$53:$FI$53,0)</f>
        <v>#N/A</v>
      </c>
      <c r="FM16" s="411" t="e">
        <f>MATCH(N16,Data!$FG$54:$FG$60,0)</f>
        <v>#N/A</v>
      </c>
      <c r="FN16" s="411" t="e">
        <f>INDEX(Data!$FH$54:$FI$60,'Shutters Page 2'!FM16,'Shutters Page 2'!FL16)</f>
        <v>#N/A</v>
      </c>
      <c r="FO16" s="411" t="e">
        <f>IF(E16=Data!$FH$35,'Shutters Page 2'!FN16,'Shutters Page 2'!FK16)</f>
        <v>#N/A</v>
      </c>
      <c r="FP16" s="351" t="e">
        <f>MATCH(G16,Data!$ME$26:$MG$26,0)</f>
        <v>#N/A</v>
      </c>
      <c r="FQ16" s="174" t="e">
        <f>MATCH(E16,Data!$MD$27:$MD$29,0)</f>
        <v>#N/A</v>
      </c>
      <c r="FR16" s="351" t="e">
        <f>INDEX(Data!$ME$27:$MG$29, 'Shutters Page 2'!FQ16, 'Shutters Page 2'!FP16)</f>
        <v>#N/A</v>
      </c>
      <c r="FS16" s="351" t="e">
        <f>MATCH(G16,Data!$AAF$1:$AAH$1,0)</f>
        <v>#N/A</v>
      </c>
      <c r="FT16" s="174" t="e">
        <f>MATCH(N16,Data!$AAE$2:$AAE$8,0)</f>
        <v>#N/A</v>
      </c>
      <c r="FU16" s="351" t="e">
        <f>INDEX(Data!$AAF$2:$AAH$8, 'Shutters Page 2'!FT16, 'Shutters Page 2'!FS16)</f>
        <v>#N/A</v>
      </c>
      <c r="FV16" s="351" t="e">
        <f>MATCH(G16,Data!$AAF$12:$AAH$12,0)</f>
        <v>#N/A</v>
      </c>
      <c r="FW16" s="174" t="e">
        <f>MATCH(N16,Data!$AAE$13:$AAE$19,0)</f>
        <v>#N/A</v>
      </c>
      <c r="FX16" s="351" t="e">
        <f>INDEX(Data!$AAF$13:$AAH$19, 'Shutters Page 2'!FW16, 'Shutters Page 2'!FV16)</f>
        <v>#N/A</v>
      </c>
      <c r="FY16" s="351" t="e">
        <f>MATCH(G16,Data!$AAK$1:$AAM$1,0)</f>
        <v>#N/A</v>
      </c>
      <c r="FZ16" s="174" t="e">
        <f>MATCH(Q16,Data!$AAJ$2,0)</f>
        <v>#N/A</v>
      </c>
      <c r="GA16" s="351" t="e">
        <f>INDEX(Data!$AAK$2:$AAM$2, 'Shutters Page 2'!FZ16, 'Shutters Page 2'!FY16)</f>
        <v>#N/A</v>
      </c>
      <c r="GB16" s="351" t="e">
        <f>MATCH(G16,Data!$AAK$12:$AAM$12,0)</f>
        <v>#N/A</v>
      </c>
      <c r="GC16" s="174" t="e">
        <f>MATCH(Q16,Data!$AAJ$13,0)</f>
        <v>#N/A</v>
      </c>
      <c r="GD16" s="351" t="e">
        <f>INDEX(Data!$AAK$13:$AAM$13, 'Shutters Page 2'!GC16, 'Shutters Page 2'!GB16)</f>
        <v>#N/A</v>
      </c>
      <c r="GE16" s="162" t="e">
        <f>VLOOKUP(H16,Data!$AAR$1:$AAS$35,2,FALSE)</f>
        <v>#N/A</v>
      </c>
      <c r="GF16" s="162" t="e">
        <f t="shared" si="50"/>
        <v>#N/A</v>
      </c>
      <c r="GG16" s="162" t="e">
        <f t="shared" si="51"/>
        <v>#N/A</v>
      </c>
      <c r="GH16" s="162" t="e">
        <f t="shared" si="52"/>
        <v>#N/A</v>
      </c>
      <c r="GI16" s="162" t="str">
        <f>IF(G16=Data!$NC$1,Data!$ND$1,Data!$NE$1)</f>
        <v>FauxwoodStile</v>
      </c>
      <c r="GL16" s="55" t="e">
        <f>VLOOKUP('Shutters Page 2'!H16,Data!$BD$81:$BE$115,2,FALSE)</f>
        <v>#N/A</v>
      </c>
      <c r="GM16" s="55" t="e">
        <f>IF(GL16=Data!$BB$80,"Yes", "No")</f>
        <v>#N/A</v>
      </c>
      <c r="GN16" s="55" t="e">
        <f>IF(GM16="Yes",Data!$EJ$57,'Shutters Page 2'!EB16)</f>
        <v>#N/A</v>
      </c>
      <c r="GQ16" s="55" t="b">
        <f>IF(G16=$GQ$6,Data!$EN$47,IF(G16='Shutters Page 2'!$GQ$7,Data!$EM$47))</f>
        <v>0</v>
      </c>
    </row>
    <row r="17" spans="1:199" ht="36.75" customHeight="1">
      <c r="A17" s="53">
        <v>9</v>
      </c>
      <c r="B17" s="17"/>
      <c r="C17" s="14"/>
      <c r="D17" s="14"/>
      <c r="E17" s="14"/>
      <c r="F17" s="10"/>
      <c r="G17" s="13"/>
      <c r="H17" s="555"/>
      <c r="I17" s="603"/>
      <c r="J17" s="14"/>
      <c r="K17" s="149" t="str">
        <f t="shared" si="0"/>
        <v/>
      </c>
      <c r="L17" s="15"/>
      <c r="M17" s="15"/>
      <c r="N17" s="15"/>
      <c r="O17" s="15"/>
      <c r="P17" s="15"/>
      <c r="Q17" s="486"/>
      <c r="R17" s="486"/>
      <c r="S17" s="13"/>
      <c r="T17" s="13"/>
      <c r="U17" s="13"/>
      <c r="V17" s="13"/>
      <c r="W17" s="15"/>
      <c r="X17" s="15"/>
      <c r="Y17" s="16"/>
      <c r="Z17" s="16"/>
      <c r="AA17" s="14"/>
      <c r="AB17" s="14"/>
      <c r="AC17" s="14"/>
      <c r="AD17" s="386"/>
      <c r="AE17" s="169" t="str">
        <f t="shared" si="1"/>
        <v/>
      </c>
      <c r="AF17" s="236"/>
      <c r="AG17" s="237"/>
      <c r="AI17" s="55">
        <f t="shared" si="2"/>
        <v>0</v>
      </c>
      <c r="AJ17" s="55">
        <f t="shared" si="3"/>
        <v>0</v>
      </c>
      <c r="AK17" s="55">
        <f>IF(P17&lt;&gt;"",VLOOKUP(P17,Data!$AAY$2:$AAZ$44,2,FALSE),0)</f>
        <v>0</v>
      </c>
      <c r="AL17" s="55" t="str">
        <f>IF(E17=Data!$BB$10,Data!$BC$10,Data!$BC$2)</f>
        <v>ShutterMaterial</v>
      </c>
      <c r="AP17" s="55" t="str">
        <f t="shared" si="53"/>
        <v>SlidingSystemNA</v>
      </c>
      <c r="AV17" s="114" t="str">
        <f t="shared" si="4"/>
        <v/>
      </c>
      <c r="AW17" s="66" t="e">
        <f t="shared" si="5"/>
        <v>#N/A</v>
      </c>
      <c r="AX17" s="174" t="e">
        <f>VLOOKUP(Q17,Data!$MI$2:$MJ$4,2,FALSE)</f>
        <v>#N/A</v>
      </c>
      <c r="AY17" s="174" t="e">
        <f t="shared" si="6"/>
        <v>#N/A</v>
      </c>
      <c r="AZ17" s="174" t="e">
        <f>VLOOKUP(N17,Data!$BI$24:$BJ$30,2,FALSE)</f>
        <v>#N/A</v>
      </c>
      <c r="BA17" s="160" t="b">
        <f>IF(G17=Data!$BO$2,Data!$BS$2, IF('Shutters Page 2'!G17=Data!$BP$2,Data!$BT$2, IF('Shutters Page 2'!G17=Data!$BQ$2,Data!$BU$2)))</f>
        <v>0</v>
      </c>
      <c r="BB17" s="361" t="str">
        <f t="shared" si="7"/>
        <v>No</v>
      </c>
      <c r="BC17" s="160" t="e">
        <f t="shared" si="8"/>
        <v>#DIV/0!</v>
      </c>
      <c r="BD17" s="361" t="e">
        <f t="shared" si="9"/>
        <v>#DIV/0!</v>
      </c>
      <c r="BE17" s="160" t="e">
        <f t="shared" si="10"/>
        <v>#DIV/0!</v>
      </c>
      <c r="BF17" s="361" t="str">
        <f t="shared" si="11"/>
        <v>No</v>
      </c>
      <c r="BG17" s="160" t="str">
        <f t="shared" si="12"/>
        <v>NotRequired</v>
      </c>
      <c r="BH17" s="160" t="b">
        <f>IF(G17=Data!$BO$2,Data!$CM$2, IF('Shutters Page 2'!G17=Data!$BP$2,Data!$CN$2, IF('Shutters Page 2'!G17=Data!$BQ$2,Data!$CO$2)))</f>
        <v>0</v>
      </c>
      <c r="BI17" s="160" t="e">
        <f t="shared" si="54"/>
        <v>#DIV/0!</v>
      </c>
      <c r="BJ17" s="161" t="str">
        <f t="shared" si="13"/>
        <v>NoHighlight</v>
      </c>
      <c r="BK17" s="361" t="str">
        <f t="shared" si="14"/>
        <v>FauxwoodRPNo</v>
      </c>
      <c r="BL17" s="161" t="str">
        <f>IF(SUM(--ISNUMBER( SEARCH({"t","T"},P17))),"Yes","No")</f>
        <v>No</v>
      </c>
      <c r="BM17" s="161" t="str">
        <f t="shared" si="15"/>
        <v>OK</v>
      </c>
      <c r="BN17" s="161" t="str">
        <f t="shared" si="16"/>
        <v>OK</v>
      </c>
      <c r="BO17" s="161" t="str">
        <f t="shared" si="17"/>
        <v>OK</v>
      </c>
      <c r="BP17" s="161" t="e">
        <f>IF(OR(AND(F17&gt;1,#REF!="L",#REF!="l"),AND(F17&gt;1,#REF!="R",#REF!="r"),AND(F17&gt;2,#REF!="LR",#REF!="lr")), "Error","OK")</f>
        <v>#REF!</v>
      </c>
      <c r="BQ17" s="161" t="str">
        <f t="shared" si="18"/>
        <v>FauxwoodAINo</v>
      </c>
      <c r="BR17" s="161" t="str">
        <f>IF(SUM(--ISNUMBER(SEARCH({"combo","Combo","COMBO"}, B34))),"Yes","No")</f>
        <v>No</v>
      </c>
      <c r="BS17" s="161" t="str">
        <f t="shared" si="55"/>
        <v>No</v>
      </c>
      <c r="BT17" s="161" t="str">
        <f>IF(SUM(--ISNUMBER( SEARCH({"c","C","b","B"},#REF!))),"Yes","No")</f>
        <v>No</v>
      </c>
      <c r="BU17" s="162">
        <f t="shared" si="19"/>
        <v>0</v>
      </c>
      <c r="BV17" s="174" t="str">
        <f>IF(N17=Data!$BI$3,Data!$DR$3,IF(N17=Data!$BI$4,Data!$DS$3,IF(N17=Data!$BI$5,Data!$DT$3,IF(N17=Data!$BI$6,Data!$DU$3,IF(N17=Data!$BI$7,Data!$DV$3, IF(N17=Data!$BI$8,Data!$DX$3, IF(N17=Data!$BI$9,Data!$DW$3, "")))))))</f>
        <v/>
      </c>
      <c r="BW17" s="174" t="str">
        <f>IF(N17=Data!$BI$3,Data!$DY$3,IF(N17=Data!$BI$4,Data!$DZ$3,IF(N17=Data!$BI$5,Data!$EA$3,IF(N17=Data!$BI$6,Data!$EB$3,IF(N17=Data!$BI$7,Data!$EC$3,IF(N17=Data!$BI$8,Data!$EE$3, IF(N17=Data!$BI$9,Data!$ED$3,"")))))))</f>
        <v/>
      </c>
      <c r="BX17" s="162">
        <f t="shared" si="20"/>
        <v>0</v>
      </c>
      <c r="BY17" s="162">
        <f t="shared" si="21"/>
        <v>0</v>
      </c>
      <c r="BZ17" s="174" t="e">
        <f t="shared" si="22"/>
        <v>#DIV/0!</v>
      </c>
      <c r="CA17" s="351" t="b">
        <f>IF(G17=Data!$EU$2,Data!$ES$2,IF(G17=Data!$EU$3,Data!$ER$2, IF(G17=Data!$EU$5,Data!$ET$2, IF(G17=Data!$EU$4,Data!$EQ$2,IF(G17=Data!$EU$6,Data!$ER$2)))))</f>
        <v>0</v>
      </c>
      <c r="CB17" s="351" t="b">
        <f>IF(G17=Data!$EU$2,Data!$EW$2,IF(G17=Data!$EU$3,Data!$EX$2,IF(G17=Data!$EU$4,Data!$EY$2, IF(G17=Data!$EU$5,Data!$EY$2,IF(G17=Data!$EU$6,Data!$EX$2)))))</f>
        <v>0</v>
      </c>
      <c r="CC17" s="174" t="e">
        <f>VLOOKUP(M17,Data!$EJ$3:$EK$15,2,FALSE)</f>
        <v>#N/A</v>
      </c>
      <c r="CD17" s="174" t="str">
        <f>IF(J17="114mm",VLOOKUP(H17,Data!$FA$2:$FB$18,2,FALSE),"OK")</f>
        <v>OK</v>
      </c>
      <c r="CE17" s="174" t="e">
        <f t="shared" si="23"/>
        <v>#DIV/0!</v>
      </c>
      <c r="CF17" s="174" t="str">
        <f>IF(OR(AND(S17="",Q17&lt;&gt;"")),VLOOKUP(Q17,Data!$FC$2:$FD$19,2,FALSE),"")</f>
        <v/>
      </c>
      <c r="CG17" s="174" t="str">
        <f>IF(N17=Data!$BI$3,Data!$FJ$1,IF(N17=Data!$BI$4,Data!$FK$1,IF(N17=Data!$BI$5,Data!$FL$1,IF(N17=Data!$BI$6,Data!$FM$1,IF(N17=Data!$BI$7,Data!$FN$1, IF(N17=Data!$BI$8,Data!$FO$1, IF(N17=Data!$BI$9,Data!$FI$1, "")))))))</f>
        <v/>
      </c>
      <c r="CH17" s="174" t="str">
        <f>IF(SUM(--ISNUMBER(SEARCH({"z","Z"}, Q17))),"Yes","No")</f>
        <v>No</v>
      </c>
      <c r="CI17" s="174" t="str">
        <f t="shared" si="24"/>
        <v>OK</v>
      </c>
      <c r="CJ17" s="174">
        <f t="shared" si="25"/>
        <v>0</v>
      </c>
      <c r="CK17" s="174" t="e">
        <f>VLOOKUP(P17,Data!$DO$4:$DP$157,2,FALSE)</f>
        <v>#N/A</v>
      </c>
      <c r="CL17" s="174" t="e">
        <f t="shared" si="26"/>
        <v>#N/A</v>
      </c>
      <c r="CM17" s="162"/>
      <c r="CN17" s="162"/>
      <c r="CO17" s="162"/>
      <c r="CP17" s="366" t="str">
        <f t="shared" si="27"/>
        <v>OK</v>
      </c>
      <c r="CQ17" s="174" t="b">
        <f t="shared" si="28"/>
        <v>0</v>
      </c>
      <c r="CR17" s="174">
        <f t="shared" si="29"/>
        <v>0</v>
      </c>
      <c r="CS17" s="174">
        <f t="shared" si="30"/>
        <v>1</v>
      </c>
      <c r="CT17" s="174">
        <f t="shared" si="56"/>
        <v>0</v>
      </c>
      <c r="CU17" s="162" t="e">
        <f t="shared" si="31"/>
        <v>#DIV/0!</v>
      </c>
      <c r="CV17" s="162" t="e">
        <f>VLOOKUP(H17,Data!$BD$81:$BE$111,2,FALSE)</f>
        <v>#N/A</v>
      </c>
      <c r="CW17" s="174" t="str">
        <f t="shared" si="32"/>
        <v/>
      </c>
      <c r="CX17" s="292" t="str">
        <f>IF(H17=Data!$BE$3,Data!$HQ$2, IF(H17=Data!$BE$4,Data!$HP$2, IF(H17=Data!$BE$5,Data!$HR$2, IF(H17=Data!$BE$6,Data!$HO$2))))</f>
        <v>Super WhiteNA</v>
      </c>
      <c r="CY17" s="351" t="b">
        <f>IF(H17=Data!$BH$3,Data!$HU$2, IF(H17=Data!$BH$4,Data!$HT$2, IF(H17=Data!$BH$5,Data!$HS$2)))</f>
        <v>0</v>
      </c>
      <c r="CZ17" s="351" t="b">
        <f>IF(H17=Data!$BF$3,Data!$HQ$16, IF(H17=Data!$BF$4,Data!$HP$16, IF(H17=Data!$BF$5,Data!$HR$16, IF(H17=Data!$BF$6,Data!$HO$16))))</f>
        <v>0</v>
      </c>
      <c r="DA17" s="351" t="b">
        <f>IF(G17=Data!$BC$3,'Shutters Page 2'!CW17,IF(G17=Data!$BC$4,'Shutters Page 2'!CX17,IF(G17=Data!$BC$6,'Shutters Page 2'!CY17, IF(G17=Data!$BC$5, 'Shutters Page 2'!CX17,IF(G17=Data!$BC$7,'Shutters Page 2'!CX17)))))</f>
        <v>0</v>
      </c>
      <c r="DB17" s="162" t="e">
        <f>IF(OR(AND(L17&gt;0,#REF!="")), "Error","OK")</f>
        <v>#REF!</v>
      </c>
      <c r="DC17" s="174" t="e">
        <f>IF(COUNTIF(#REF!,Data!$CX$6),"Yes","")</f>
        <v>#REF!</v>
      </c>
      <c r="DD17" s="55" t="str">
        <f t="shared" si="33"/>
        <v/>
      </c>
      <c r="DG17" s="55" t="str">
        <f>IF(N17=Data!$BI$5,"Yes",IF(N17=Data!$BI$6,"Yes","No"))</f>
        <v>No</v>
      </c>
      <c r="DH17" s="66" t="b">
        <f>IF(N17=Data!$BI$3,Data!$JB$2,IF(N17=Data!$BI$4,Data!$JC$2,IF(N17=Data!$BI$5,Data!$JD$2,IF(N17=Data!$BI$6,DI17,IF(N17=Data!$BI$7,Data!$JF$2, IF(N17=Data!$BI$8,Data!$JA$2, IF(N17=Data!$BI$9,Data!$JG$2)))))))</f>
        <v>0</v>
      </c>
      <c r="DI17" s="55" t="e">
        <f>VLOOKUP(P17,Data!$AAY$2:$ABA$44,3,FALSE)</f>
        <v>#N/A</v>
      </c>
      <c r="DK17" s="66" t="e">
        <f>VLOOKUP(P17,Data!$DO$4:$DQ$157,3,FALSE)</f>
        <v>#N/A</v>
      </c>
      <c r="DL17" s="55" t="e">
        <f t="shared" si="34"/>
        <v>#N/A</v>
      </c>
      <c r="DM17" s="55" t="e">
        <f t="shared" si="57"/>
        <v>#N/A</v>
      </c>
      <c r="DN17" s="162" t="b">
        <f>IF(Q17=Data!$BK$3,Data!$JH$2,IF(Q17=Data!$BK$4,Data!$JI$2,IF(Q17=Data!$BK$5,Data!$JJ$2,IF(Q17=Data!$BK$6,Data!$JK$2,IF(Q17=Data!$BK$7,Data!$JL$2,IF(Q17=Data!$BK$8,Data!$JM$2,IF(Q17=Data!$BK$9,Data!$JN$2,IF(Q17=Data!$BK$10,Data!$JO$2,IF(Q17=Data!$BK$11,Data!$JP$2,IF(Q17=Data!$BK$12,Data!$JQ$2,IF(Q17=Data!$BK$13,Data!$JR$2,IF(Q17=Data!$BK$14,Data!$JS$2,IF(Q17=Data!$BK$15,Data!$JT$2,IF(Q17=Data!$BK$16,Data!$JU$2,IF(Q17=Data!$BK$17,Data!$JV$2,IF(Q17=Data!$BK$18,Data!$JW$2, IF(Q17=Data!$BK$19,Data!$JX$2, IF(Q17=Data!$BK$20,Data!$JY$2, IF(Q17=Data!$BK$21,Data!$JN$2, IF(Q17=Data!$BK$22,Data!$JN$2, IF(Q17=Data!$BK$23,Data!$JN$2, IF(Q17=Data!$BK$24,Data!$JL$19))))))))))))))))))))))</f>
        <v>0</v>
      </c>
      <c r="DO17" s="55" t="str">
        <f>Data!$JH$19</f>
        <v>LRFrameAir</v>
      </c>
      <c r="DP17" s="55" t="b">
        <f>IF(G17=Data!$JH$18,'Shutters Page 2'!DO17,'Shutters Page 2'!DN17)</f>
        <v>0</v>
      </c>
      <c r="DR17" s="174" t="str">
        <f t="shared" si="58"/>
        <v/>
      </c>
      <c r="DS17" s="174" t="e">
        <f t="shared" si="59"/>
        <v>#N/A</v>
      </c>
      <c r="DT17" s="174" t="str">
        <f t="shared" si="35"/>
        <v>OK</v>
      </c>
      <c r="DU17" s="174" t="str">
        <f t="shared" si="36"/>
        <v>OK</v>
      </c>
      <c r="DV17" s="174" t="str">
        <f t="shared" si="37"/>
        <v>OK</v>
      </c>
      <c r="DW17" s="174" t="str">
        <f t="shared" si="38"/>
        <v>OK</v>
      </c>
      <c r="DX17" s="66" t="b">
        <f>IF(N17=Data!$LW$2,Data!$LX$1,IF(N17=Data!$LW$3,Data!$LY$1,IF(N17=Data!$LW$4,Data!$LZ$1,IF(N17=Data!$LW$5,Data!$MA$1,IF(N17=Data!$LW$6,Data!$MB$1,IF(N17=Data!$LW$7,Data!$MC$1, IF(N17=Data!$LW$8,Data!$MX$1)))))))</f>
        <v>0</v>
      </c>
      <c r="DY17" s="66" t="b">
        <f>IF(N17=Data!$LW$2,Data!$LX$147,IF(N17=Data!$LW$7,Data!$MC$1))</f>
        <v>0</v>
      </c>
      <c r="DZ17" s="66" t="b">
        <f>IF(G17=Data!$BC$3,'Shutters Page 2'!DX17,IF(G17=Data!$BC$5,'Shutters Page 2'!DY17))</f>
        <v>0</v>
      </c>
      <c r="EA17" s="66" t="b">
        <f>IF(E17=Data!$MD$2,Data!$ME$2, IF(E17=Data!$MD$3,Data!$MF$2, IF(E17=Data!$MD$4,Data!$MG$2)))</f>
        <v>0</v>
      </c>
      <c r="EB17" s="162" t="str">
        <f>IF(E17="MS",Data!$AK$1,IF(G17=Data!$BC$5,Data!$EJ$40,IF(G17=Data!$BC$4,Data!$EJ$20,Data!$EJ$2)))</f>
        <v>Special_Window_Timber</v>
      </c>
      <c r="EC17" s="66" t="str">
        <f>IF(OR(AND(T17="",Q17&lt;&gt;"")),VLOOKUP(Q17,Data!$FC$2:$FD$18,2,FALSE),"")</f>
        <v/>
      </c>
      <c r="ED17" s="66" t="str">
        <f>IF(OR(AND(U17="",Q17&lt;&gt;"")),VLOOKUP(Q17,Data!$FC$2:$FD$18,2,FALSE),"")</f>
        <v/>
      </c>
      <c r="EE17" s="66" t="str">
        <f>IF(OR(AND(V17="",Q17&lt;&gt;"")),VLOOKUP(Q17,Data!$FC$2:$FD$18,2,FALSE),"")</f>
        <v/>
      </c>
      <c r="EF17" s="162" t="e">
        <f>VLOOKUP(N17,Data!$MK$2:$ML$8,2,FALSE)</f>
        <v>#N/A</v>
      </c>
      <c r="EG17" s="66" t="e">
        <f>VLOOKUP(P17,Data!$DO$4:$DO$158,1,FALSE)</f>
        <v>#N/A</v>
      </c>
      <c r="EH17" s="66" t="e">
        <f t="shared" si="39"/>
        <v>#N/A</v>
      </c>
      <c r="EI17" s="55" t="str">
        <f t="shared" si="40"/>
        <v/>
      </c>
      <c r="EJ17" s="162" t="str">
        <f t="shared" si="41"/>
        <v>OK</v>
      </c>
      <c r="EK17" s="405" t="str">
        <f>Data!$JI$19</f>
        <v>TopBottomFrameAir</v>
      </c>
      <c r="EL17" s="405" t="b">
        <f>IF(G17=Data!$JH$18,EK17,EM17)</f>
        <v>0</v>
      </c>
      <c r="EM17" s="174" t="b">
        <f>IF(Q17=Data!$NN$3,Data!$NO$2, IF(Q17=Data!$NN$4,Data!$NP$2, IF(Q17=Data!$NN$5,Data!$NQ$2, IF(Q17=Data!$NN$6,Data!$NR$2, IF(Q17=Data!$NN$7,Data!$NS$2, IF(Q17=Data!$NN$8,Data!$NT$2, IF(Q17=Data!$NN$9,Data!$NU$2, IF(Q17=Data!$NN$10,Data!$NV$2, IF(Q17=Data!$NN$11,Data!$NW$2, IF(Q17=Data!$NN$12,Data!$NX$2, IF(Q17=Data!$NN$13,Data!$NY$2, IF(Q17=Data!$NN$14,Data!$NZ$2, IF(Q17=Data!$NN$15,Data!$OA$2, IF(Q17=Data!$NN$16,Data!$OB$2, IF(Q17=Data!$NN$17,Data!$OC$2, IF(Q17=Data!$NN$18,Data!$OD$2, IF(Q17=Data!$NN$19,Data!$OE$2, IF(Q17=Data!$NN$20,Data!$OG$2, IF(Q17=Data!$NN$25,Data!$NT$2, IF(Q17=Data!$NN$26,Data!$NT$2, IF(Q17=Data!$NN$27,Data!$NT$2, IF(Q17=Data!$NN$28,Data!$OH$2))))))))))))))))))))))</f>
        <v>0</v>
      </c>
      <c r="EN17" s="174" t="b">
        <f>IF(O17=$EN$7,Data!$OD$15,'Shutters Page 2'!EO17)</f>
        <v>0</v>
      </c>
      <c r="EO17" s="174" t="b">
        <f>IF(Q17=Data!$NN$3,Data!$NO$15,IF(Q17=Data!$NN$4,Data!$NP$15,IF(Q17=Data!$NN$5,Data!$NQ$15,IF(Q17=Data!$NN$6,Data!$NR$15,IF(Q17=Data!$NN$7,Data!$NS$15,IF(Q17=Data!$NN$8,Data!$NT$15,IF(Q17=Data!$NN$9,Data!$NU$15,IF(Q17=Data!$NN$10,Data!$NV$15,IF(Q17=Data!$NN$11,Data!$NW$15,IF(Q17=Data!$NN$12,Data!$NX$15,IF(Q17=Data!$NN$13,Data!$NY$15,IF(Q17=Data!$NN$14,Data!$NZ$15,IF(N17=Data!$NN$22,Data!$OA$15,IF(N17=Data!$NN$23,Data!$OB$15,IF(Q17=Data!$NN$19,Data!$OC$15, IF(Q17=Data!$NN$20,Data!$OG$15,IF(Q17=Data!$NN$25,Data!$NT$15,IF(Q17=Data!$NN$26,Data!$NT$15,IF(Q17=Data!$NN$27,Data!$NT$15,IF(Q17=Data!$NN$28,Data!$OH$15))))))))))))))))))))</f>
        <v>0</v>
      </c>
      <c r="EP17" s="406" t="str">
        <f>Data!$JI$19</f>
        <v>TopBottomFrameAir</v>
      </c>
      <c r="EQ17" s="406" t="b">
        <f>IF(G17=Data!$JH$18,EP17,EN17)</f>
        <v>0</v>
      </c>
      <c r="ER17" s="351" t="e">
        <f>MATCH(G17,Data!$CW$10:$CW$14,0)</f>
        <v>#N/A</v>
      </c>
      <c r="ES17" s="174" t="e">
        <f>MATCH(J17,Data!$CX$9:$DA$9,0)</f>
        <v>#N/A</v>
      </c>
      <c r="ET17" s="355" t="e">
        <f>INDEX(Data!$CX$10:$DA$14,'Shutters Page 2'!ER17,'Shutters Page 2'!ES17)</f>
        <v>#N/A</v>
      </c>
      <c r="EU17" s="355" t="e">
        <f>VLOOKUP(H17,Data!$BD$81:$BE$115,2,FALSE)</f>
        <v>#N/A</v>
      </c>
      <c r="EV17" s="355" t="e">
        <f>IF(EU17=Data!$BB$80,Data!$CW$20,'Shutters Page 2'!ET17)</f>
        <v>#N/A</v>
      </c>
      <c r="EW17" s="174" t="str">
        <f>IF(SUM(--ISNUMBER(SEARCH({"combo","Combo","COMBO"}, B34))),"Yes","No")</f>
        <v>No</v>
      </c>
      <c r="EX17" s="174" t="str">
        <f>IF(SUM(--ISNUMBER(SEARCH({"combo","Combo","COMBO"}, F34))),"Yes","No")</f>
        <v>No</v>
      </c>
      <c r="EY17" s="174" t="str">
        <f t="shared" si="60"/>
        <v>No</v>
      </c>
      <c r="EZ17" s="162">
        <f t="shared" si="42"/>
        <v>1</v>
      </c>
      <c r="FA17" s="162" t="e">
        <f t="shared" si="43"/>
        <v>#DIV/0!</v>
      </c>
      <c r="FB17" s="174" t="str">
        <f t="shared" si="44"/>
        <v/>
      </c>
      <c r="FC17" s="351" t="str">
        <f t="shared" si="45"/>
        <v/>
      </c>
      <c r="FD17" s="351" t="str">
        <f t="shared" si="46"/>
        <v/>
      </c>
      <c r="FE17" s="174" t="str">
        <f t="shared" si="47"/>
        <v/>
      </c>
      <c r="FF17" s="174" t="str">
        <f t="shared" si="48"/>
        <v/>
      </c>
      <c r="FG17" s="174" t="str">
        <f t="shared" si="49"/>
        <v/>
      </c>
      <c r="FH17" s="278" t="str">
        <f t="shared" si="61"/>
        <v>No</v>
      </c>
      <c r="FI17" s="351" t="e">
        <f>MATCH(G17,Data!$FH$18:$FL$18,0)</f>
        <v>#N/A</v>
      </c>
      <c r="FJ17" s="174" t="e">
        <f>MATCH(N17,Data!$FG$19:$FG$25,0)</f>
        <v>#N/A</v>
      </c>
      <c r="FK17" s="351" t="e">
        <f>INDEX(Data!$FH$19:$FL$25,'Shutters Page 2'!FJ17,'Shutters Page 2'!FI17)</f>
        <v>#N/A</v>
      </c>
      <c r="FL17" s="411" t="e">
        <f>MATCH(G17,Data!$FH$53:$FI$53,0)</f>
        <v>#N/A</v>
      </c>
      <c r="FM17" s="411" t="e">
        <f>MATCH(N17,Data!$FG$54:$FG$60,0)</f>
        <v>#N/A</v>
      </c>
      <c r="FN17" s="411" t="e">
        <f>INDEX(Data!$FH$54:$FI$60,'Shutters Page 2'!FM17,'Shutters Page 2'!FL17)</f>
        <v>#N/A</v>
      </c>
      <c r="FO17" s="411" t="e">
        <f>IF(E17=Data!$FH$35,'Shutters Page 2'!FN17,'Shutters Page 2'!FK17)</f>
        <v>#N/A</v>
      </c>
      <c r="FP17" s="351" t="e">
        <f>MATCH(G17,Data!$ME$26:$MG$26,0)</f>
        <v>#N/A</v>
      </c>
      <c r="FQ17" s="174" t="e">
        <f>MATCH(E17,Data!$MD$27:$MD$29,0)</f>
        <v>#N/A</v>
      </c>
      <c r="FR17" s="351" t="e">
        <f>INDEX(Data!$ME$27:$MG$29, 'Shutters Page 2'!FQ17, 'Shutters Page 2'!FP17)</f>
        <v>#N/A</v>
      </c>
      <c r="FS17" s="351" t="e">
        <f>MATCH(G17,Data!$AAF$1:$AAH$1,0)</f>
        <v>#N/A</v>
      </c>
      <c r="FT17" s="174" t="e">
        <f>MATCH(N17,Data!$AAE$2:$AAE$8,0)</f>
        <v>#N/A</v>
      </c>
      <c r="FU17" s="351" t="e">
        <f>INDEX(Data!$AAF$2:$AAH$8, 'Shutters Page 2'!FT17, 'Shutters Page 2'!FS17)</f>
        <v>#N/A</v>
      </c>
      <c r="FV17" s="351" t="e">
        <f>MATCH(G17,Data!$AAF$12:$AAH$12,0)</f>
        <v>#N/A</v>
      </c>
      <c r="FW17" s="174" t="e">
        <f>MATCH(N17,Data!$AAE$13:$AAE$19,0)</f>
        <v>#N/A</v>
      </c>
      <c r="FX17" s="351" t="e">
        <f>INDEX(Data!$AAF$13:$AAH$19, 'Shutters Page 2'!FW17, 'Shutters Page 2'!FV17)</f>
        <v>#N/A</v>
      </c>
      <c r="FY17" s="351" t="e">
        <f>MATCH(G17,Data!$AAK$1:$AAM$1,0)</f>
        <v>#N/A</v>
      </c>
      <c r="FZ17" s="174" t="e">
        <f>MATCH(Q17,Data!$AAJ$2,0)</f>
        <v>#N/A</v>
      </c>
      <c r="GA17" s="351" t="e">
        <f>INDEX(Data!$AAK$2:$AAM$2, 'Shutters Page 2'!FZ17, 'Shutters Page 2'!FY17)</f>
        <v>#N/A</v>
      </c>
      <c r="GB17" s="351" t="e">
        <f>MATCH(G17,Data!$AAK$12:$AAM$12,0)</f>
        <v>#N/A</v>
      </c>
      <c r="GC17" s="174" t="e">
        <f>MATCH(Q17,Data!$AAJ$13,0)</f>
        <v>#N/A</v>
      </c>
      <c r="GD17" s="351" t="e">
        <f>INDEX(Data!$AAK$13:$AAM$13, 'Shutters Page 2'!GC17, 'Shutters Page 2'!GB17)</f>
        <v>#N/A</v>
      </c>
      <c r="GE17" s="162" t="e">
        <f>VLOOKUP(H17,Data!$AAR$1:$AAS$35,2,FALSE)</f>
        <v>#N/A</v>
      </c>
      <c r="GF17" s="162" t="e">
        <f t="shared" si="50"/>
        <v>#N/A</v>
      </c>
      <c r="GG17" s="162" t="e">
        <f t="shared" si="51"/>
        <v>#N/A</v>
      </c>
      <c r="GH17" s="162" t="e">
        <f t="shared" si="52"/>
        <v>#N/A</v>
      </c>
      <c r="GI17" s="162" t="str">
        <f>IF(G17=Data!$NC$1,Data!$ND$1,Data!$NE$1)</f>
        <v>FauxwoodStile</v>
      </c>
      <c r="GL17" s="55" t="e">
        <f>VLOOKUP('Shutters Page 2'!H17,Data!$BD$81:$BE$115,2,FALSE)</f>
        <v>#N/A</v>
      </c>
      <c r="GM17" s="55" t="e">
        <f>IF(GL17=Data!$BB$80,"Yes", "No")</f>
        <v>#N/A</v>
      </c>
      <c r="GN17" s="55" t="e">
        <f>IF(GM17="Yes",Data!$EJ$57,'Shutters Page 2'!EB17)</f>
        <v>#N/A</v>
      </c>
      <c r="GQ17" s="55" t="b">
        <f>IF(G17=$GQ$6,Data!$EN$47,IF(G17='Shutters Page 2'!$GQ$7,Data!$EM$47))</f>
        <v>0</v>
      </c>
    </row>
    <row r="18" spans="1:199" ht="36.75" customHeight="1">
      <c r="A18" s="53">
        <v>10</v>
      </c>
      <c r="B18" s="17"/>
      <c r="C18" s="14"/>
      <c r="D18" s="14"/>
      <c r="E18" s="14"/>
      <c r="F18" s="10"/>
      <c r="G18" s="13"/>
      <c r="H18" s="555"/>
      <c r="I18" s="603"/>
      <c r="J18" s="14"/>
      <c r="K18" s="149" t="str">
        <f t="shared" si="0"/>
        <v/>
      </c>
      <c r="L18" s="15"/>
      <c r="M18" s="15"/>
      <c r="N18" s="15"/>
      <c r="O18" s="15"/>
      <c r="P18" s="15"/>
      <c r="Q18" s="486"/>
      <c r="R18" s="486"/>
      <c r="S18" s="13"/>
      <c r="T18" s="13"/>
      <c r="U18" s="13"/>
      <c r="V18" s="13"/>
      <c r="W18" s="15"/>
      <c r="X18" s="15"/>
      <c r="Y18" s="16"/>
      <c r="Z18" s="16"/>
      <c r="AA18" s="14"/>
      <c r="AB18" s="14"/>
      <c r="AC18" s="14"/>
      <c r="AD18" s="386"/>
      <c r="AE18" s="169" t="str">
        <f t="shared" si="1"/>
        <v/>
      </c>
      <c r="AF18" s="236"/>
      <c r="AG18" s="237"/>
      <c r="AI18" s="55">
        <f t="shared" si="2"/>
        <v>0</v>
      </c>
      <c r="AJ18" s="55">
        <f t="shared" si="3"/>
        <v>0</v>
      </c>
      <c r="AK18" s="55">
        <f>IF(P18&lt;&gt;"",VLOOKUP(P18,Data!$AAY$2:$AAZ$44,2,FALSE),0)</f>
        <v>0</v>
      </c>
      <c r="AL18" s="55" t="str">
        <f>IF(E18=Data!$BB$10,Data!$BC$10,Data!$BC$2)</f>
        <v>ShutterMaterial</v>
      </c>
      <c r="AP18" s="55" t="str">
        <f t="shared" si="53"/>
        <v>SlidingSystemNA</v>
      </c>
      <c r="AV18" s="114" t="str">
        <f t="shared" si="4"/>
        <v/>
      </c>
      <c r="AW18" s="66" t="e">
        <f t="shared" si="5"/>
        <v>#N/A</v>
      </c>
      <c r="AX18" s="174" t="e">
        <f>VLOOKUP(Q18,Data!$MI$2:$MJ$4,2,FALSE)</f>
        <v>#N/A</v>
      </c>
      <c r="AY18" s="174" t="e">
        <f t="shared" si="6"/>
        <v>#N/A</v>
      </c>
      <c r="AZ18" s="174" t="e">
        <f>VLOOKUP(N18,Data!$BI$24:$BJ$30,2,FALSE)</f>
        <v>#N/A</v>
      </c>
      <c r="BA18" s="160" t="b">
        <f>IF(G18=Data!$BO$2,Data!$BS$2, IF('Shutters Page 2'!G18=Data!$BP$2,Data!$BT$2, IF('Shutters Page 2'!G18=Data!$BQ$2,Data!$BU$2)))</f>
        <v>0</v>
      </c>
      <c r="BB18" s="361" t="str">
        <f t="shared" si="7"/>
        <v>No</v>
      </c>
      <c r="BC18" s="160" t="e">
        <f t="shared" si="8"/>
        <v>#DIV/0!</v>
      </c>
      <c r="BD18" s="361" t="e">
        <f t="shared" si="9"/>
        <v>#DIV/0!</v>
      </c>
      <c r="BE18" s="160" t="e">
        <f t="shared" si="10"/>
        <v>#DIV/0!</v>
      </c>
      <c r="BF18" s="361" t="str">
        <f t="shared" si="11"/>
        <v>No</v>
      </c>
      <c r="BG18" s="160" t="str">
        <f t="shared" si="12"/>
        <v>NotRequired</v>
      </c>
      <c r="BH18" s="160" t="b">
        <f>IF(G18=Data!$BO$2,Data!$CM$2, IF('Shutters Page 2'!G18=Data!$BP$2,Data!$CN$2, IF('Shutters Page 2'!G18=Data!$BQ$2,Data!$CO$2)))</f>
        <v>0</v>
      </c>
      <c r="BI18" s="160" t="e">
        <f t="shared" si="54"/>
        <v>#DIV/0!</v>
      </c>
      <c r="BJ18" s="161" t="str">
        <f t="shared" si="13"/>
        <v>NoHighlight</v>
      </c>
      <c r="BK18" s="361" t="str">
        <f t="shared" si="14"/>
        <v>FauxwoodRPNo</v>
      </c>
      <c r="BL18" s="161" t="str">
        <f>IF(SUM(--ISNUMBER( SEARCH({"t","T"},P18))),"Yes","No")</f>
        <v>No</v>
      </c>
      <c r="BM18" s="161" t="str">
        <f t="shared" si="15"/>
        <v>OK</v>
      </c>
      <c r="BN18" s="161" t="str">
        <f t="shared" si="16"/>
        <v>OK</v>
      </c>
      <c r="BO18" s="161" t="str">
        <f t="shared" si="17"/>
        <v>OK</v>
      </c>
      <c r="BP18" s="161" t="e">
        <f>IF(OR(AND(F18&gt;1,#REF!="L",#REF!="l"),AND(F18&gt;1,#REF!="R",#REF!="r"),AND(F18&gt;2,#REF!="LR",#REF!="lr")), "Error","OK")</f>
        <v>#REF!</v>
      </c>
      <c r="BQ18" s="161" t="str">
        <f t="shared" si="18"/>
        <v>FauxwoodAINo</v>
      </c>
      <c r="BR18" s="161" t="str">
        <f>IF(SUM(--ISNUMBER(SEARCH({"combo","Combo","COMBO"}, B35))),"Yes","No")</f>
        <v>No</v>
      </c>
      <c r="BS18" s="161" t="str">
        <f t="shared" si="55"/>
        <v>No</v>
      </c>
      <c r="BT18" s="161" t="str">
        <f>IF(SUM(--ISNUMBER( SEARCH({"c","C","b","B"},#REF!))),"Yes","No")</f>
        <v>No</v>
      </c>
      <c r="BU18" s="162">
        <f t="shared" si="19"/>
        <v>0</v>
      </c>
      <c r="BV18" s="174" t="str">
        <f>IF(N18=Data!$BI$3,Data!$DR$3,IF(N18=Data!$BI$4,Data!$DS$3,IF(N18=Data!$BI$5,Data!$DT$3,IF(N18=Data!$BI$6,Data!$DU$3,IF(N18=Data!$BI$7,Data!$DV$3, IF(N18=Data!$BI$8,Data!$DX$3, IF(N18=Data!$BI$9,Data!$DW$3, "")))))))</f>
        <v/>
      </c>
      <c r="BW18" s="174" t="str">
        <f>IF(N18=Data!$BI$3,Data!$DY$3,IF(N18=Data!$BI$4,Data!$DZ$3,IF(N18=Data!$BI$5,Data!$EA$3,IF(N18=Data!$BI$6,Data!$EB$3,IF(N18=Data!$BI$7,Data!$EC$3,IF(N18=Data!$BI$8,Data!$EE$3, IF(N18=Data!$BI$9,Data!$ED$3,"")))))))</f>
        <v/>
      </c>
      <c r="BX18" s="162">
        <f t="shared" si="20"/>
        <v>0</v>
      </c>
      <c r="BY18" s="162">
        <f t="shared" si="21"/>
        <v>0</v>
      </c>
      <c r="BZ18" s="174" t="e">
        <f t="shared" si="22"/>
        <v>#DIV/0!</v>
      </c>
      <c r="CA18" s="351" t="b">
        <f>IF(G18=Data!$EU$2,Data!$ES$2,IF(G18=Data!$EU$3,Data!$ER$2, IF(G18=Data!$EU$5,Data!$ET$2, IF(G18=Data!$EU$4,Data!$EQ$2,IF(G18=Data!$EU$6,Data!$ER$2)))))</f>
        <v>0</v>
      </c>
      <c r="CB18" s="351" t="b">
        <f>IF(G18=Data!$EU$2,Data!$EW$2,IF(G18=Data!$EU$3,Data!$EX$2,IF(G18=Data!$EU$4,Data!$EY$2, IF(G18=Data!$EU$5,Data!$EY$2,IF(G18=Data!$EU$6,Data!$EX$2)))))</f>
        <v>0</v>
      </c>
      <c r="CC18" s="174" t="e">
        <f>VLOOKUP(M18,Data!$EJ$3:$EK$15,2,FALSE)</f>
        <v>#N/A</v>
      </c>
      <c r="CD18" s="174" t="str">
        <f>IF(J18="114mm",VLOOKUP(H18,Data!$FA$2:$FB$18,2,FALSE),"OK")</f>
        <v>OK</v>
      </c>
      <c r="CE18" s="174" t="e">
        <f t="shared" si="23"/>
        <v>#DIV/0!</v>
      </c>
      <c r="CF18" s="174" t="str">
        <f>IF(OR(AND(S18="",Q18&lt;&gt;"")),VLOOKUP(Q18,Data!$FC$2:$FD$19,2,FALSE),"")</f>
        <v/>
      </c>
      <c r="CG18" s="174" t="str">
        <f>IF(N18=Data!$BI$3,Data!$FJ$1,IF(N18=Data!$BI$4,Data!$FK$1,IF(N18=Data!$BI$5,Data!$FL$1,IF(N18=Data!$BI$6,Data!$FM$1,IF(N18=Data!$BI$7,Data!$FN$1, IF(N18=Data!$BI$8,Data!$FO$1, IF(N18=Data!$BI$9,Data!$FI$1, "")))))))</f>
        <v/>
      </c>
      <c r="CH18" s="174" t="str">
        <f>IF(SUM(--ISNUMBER(SEARCH({"z","Z"}, Q18))),"Yes","No")</f>
        <v>No</v>
      </c>
      <c r="CI18" s="174" t="str">
        <f t="shared" si="24"/>
        <v>OK</v>
      </c>
      <c r="CJ18" s="174">
        <f t="shared" si="25"/>
        <v>0</v>
      </c>
      <c r="CK18" s="174" t="e">
        <f>VLOOKUP(P18,Data!$DO$4:$DP$157,2,FALSE)</f>
        <v>#N/A</v>
      </c>
      <c r="CL18" s="174" t="e">
        <f t="shared" si="26"/>
        <v>#N/A</v>
      </c>
      <c r="CM18" s="162"/>
      <c r="CN18" s="162"/>
      <c r="CO18" s="162"/>
      <c r="CP18" s="366" t="str">
        <f t="shared" si="27"/>
        <v>OK</v>
      </c>
      <c r="CQ18" s="174" t="b">
        <f t="shared" si="28"/>
        <v>0</v>
      </c>
      <c r="CR18" s="174">
        <f t="shared" si="29"/>
        <v>0</v>
      </c>
      <c r="CS18" s="174">
        <f t="shared" si="30"/>
        <v>1</v>
      </c>
      <c r="CT18" s="174">
        <f t="shared" si="56"/>
        <v>0</v>
      </c>
      <c r="CU18" s="162" t="e">
        <f t="shared" si="31"/>
        <v>#DIV/0!</v>
      </c>
      <c r="CV18" s="162" t="e">
        <f>VLOOKUP(H18,Data!$BD$81:$BE$111,2,FALSE)</f>
        <v>#N/A</v>
      </c>
      <c r="CW18" s="174" t="str">
        <f t="shared" si="32"/>
        <v/>
      </c>
      <c r="CX18" s="292" t="str">
        <f>IF(H18=Data!$BE$3,Data!$HQ$2, IF(H18=Data!$BE$4,Data!$HP$2, IF(H18=Data!$BE$5,Data!$HR$2, IF(H18=Data!$BE$6,Data!$HO$2))))</f>
        <v>Super WhiteNA</v>
      </c>
      <c r="CY18" s="351" t="b">
        <f>IF(H18=Data!$BH$3,Data!$HU$2, IF(H18=Data!$BH$4,Data!$HT$2, IF(H18=Data!$BH$5,Data!$HS$2)))</f>
        <v>0</v>
      </c>
      <c r="CZ18" s="351" t="b">
        <f>IF(H18=Data!$BF$3,Data!$HQ$16, IF(H18=Data!$BF$4,Data!$HP$16, IF(H18=Data!$BF$5,Data!$HR$16, IF(H18=Data!$BF$6,Data!$HO$16))))</f>
        <v>0</v>
      </c>
      <c r="DA18" s="351" t="b">
        <f>IF(G18=Data!$BC$3,'Shutters Page 2'!CW18,IF(G18=Data!$BC$4,'Shutters Page 2'!CX18,IF(G18=Data!$BC$6,'Shutters Page 2'!CY18, IF(G18=Data!$BC$5, 'Shutters Page 2'!CX18,IF(G18=Data!$BC$7,'Shutters Page 2'!CX18)))))</f>
        <v>0</v>
      </c>
      <c r="DB18" s="162" t="e">
        <f>IF(OR(AND(L18&gt;0,#REF!="")), "Error","OK")</f>
        <v>#REF!</v>
      </c>
      <c r="DC18" s="174" t="e">
        <f>IF(COUNTIF(#REF!,Data!$CX$6),"Yes","")</f>
        <v>#REF!</v>
      </c>
      <c r="DD18" s="55" t="str">
        <f t="shared" si="33"/>
        <v/>
      </c>
      <c r="DG18" s="55" t="str">
        <f>IF(N18=Data!$BI$5,"Yes",IF(N18=Data!$BI$6,"Yes","No"))</f>
        <v>No</v>
      </c>
      <c r="DH18" s="66" t="b">
        <f>IF(N18=Data!$BI$3,Data!$JB$2,IF(N18=Data!$BI$4,Data!$JC$2,IF(N18=Data!$BI$5,Data!$JD$2,IF(N18=Data!$BI$6,DI18,IF(N18=Data!$BI$7,Data!$JF$2, IF(N18=Data!$BI$8,Data!$JA$2, IF(N18=Data!$BI$9,Data!$JG$2)))))))</f>
        <v>0</v>
      </c>
      <c r="DI18" s="55" t="e">
        <f>VLOOKUP(P18,Data!$AAY$2:$ABA$44,3,FALSE)</f>
        <v>#N/A</v>
      </c>
      <c r="DK18" s="66" t="e">
        <f>VLOOKUP(P18,Data!$DO$4:$DQ$157,3,FALSE)</f>
        <v>#N/A</v>
      </c>
      <c r="DL18" s="55" t="e">
        <f t="shared" si="34"/>
        <v>#N/A</v>
      </c>
      <c r="DM18" s="55" t="e">
        <f t="shared" si="57"/>
        <v>#N/A</v>
      </c>
      <c r="DN18" s="162" t="b">
        <f>IF(Q18=Data!$BK$3,Data!$JH$2,IF(Q18=Data!$BK$4,Data!$JI$2,IF(Q18=Data!$BK$5,Data!$JJ$2,IF(Q18=Data!$BK$6,Data!$JK$2,IF(Q18=Data!$BK$7,Data!$JL$2,IF(Q18=Data!$BK$8,Data!$JM$2,IF(Q18=Data!$BK$9,Data!$JN$2,IF(Q18=Data!$BK$10,Data!$JO$2,IF(Q18=Data!$BK$11,Data!$JP$2,IF(Q18=Data!$BK$12,Data!$JQ$2,IF(Q18=Data!$BK$13,Data!$JR$2,IF(Q18=Data!$BK$14,Data!$JS$2,IF(Q18=Data!$BK$15,Data!$JT$2,IF(Q18=Data!$BK$16,Data!$JU$2,IF(Q18=Data!$BK$17,Data!$JV$2,IF(Q18=Data!$BK$18,Data!$JW$2, IF(Q18=Data!$BK$19,Data!$JX$2, IF(Q18=Data!$BK$20,Data!$JY$2, IF(Q18=Data!$BK$21,Data!$JN$2, IF(Q18=Data!$BK$22,Data!$JN$2, IF(Q18=Data!$BK$23,Data!$JN$2, IF(Q18=Data!$BK$24,Data!$JL$19))))))))))))))))))))))</f>
        <v>0</v>
      </c>
      <c r="DO18" s="55" t="str">
        <f>Data!$JH$19</f>
        <v>LRFrameAir</v>
      </c>
      <c r="DP18" s="55" t="b">
        <f>IF(G18=Data!$JH$18,'Shutters Page 2'!DO18,'Shutters Page 2'!DN18)</f>
        <v>0</v>
      </c>
      <c r="DR18" s="174" t="str">
        <f t="shared" si="58"/>
        <v/>
      </c>
      <c r="DS18" s="174" t="e">
        <f t="shared" si="59"/>
        <v>#N/A</v>
      </c>
      <c r="DT18" s="174" t="str">
        <f t="shared" si="35"/>
        <v>OK</v>
      </c>
      <c r="DU18" s="174" t="str">
        <f t="shared" si="36"/>
        <v>OK</v>
      </c>
      <c r="DV18" s="174" t="str">
        <f t="shared" si="37"/>
        <v>OK</v>
      </c>
      <c r="DW18" s="174" t="str">
        <f t="shared" si="38"/>
        <v>OK</v>
      </c>
      <c r="DX18" s="66" t="b">
        <f>IF(N18=Data!$LW$2,Data!$LX$1,IF(N18=Data!$LW$3,Data!$LY$1,IF(N18=Data!$LW$4,Data!$LZ$1,IF(N18=Data!$LW$5,Data!$MA$1,IF(N18=Data!$LW$6,Data!$MB$1,IF(N18=Data!$LW$7,Data!$MC$1, IF(N18=Data!$LW$8,Data!$MX$1)))))))</f>
        <v>0</v>
      </c>
      <c r="DY18" s="66" t="b">
        <f>IF(N18=Data!$LW$2,Data!$LX$147,IF(N18=Data!$LW$7,Data!$MC$1))</f>
        <v>0</v>
      </c>
      <c r="DZ18" s="66" t="b">
        <f>IF(G18=Data!$BC$3,'Shutters Page 2'!DX18,IF(G18=Data!$BC$5,'Shutters Page 2'!DY18))</f>
        <v>0</v>
      </c>
      <c r="EA18" s="66" t="b">
        <f>IF(E18=Data!$MD$2,Data!$ME$2, IF(E18=Data!$MD$3,Data!$MF$2, IF(E18=Data!$MD$4,Data!$MG$2)))</f>
        <v>0</v>
      </c>
      <c r="EB18" s="162" t="str">
        <f>IF(E18="MS",Data!$AK$1,IF(G18=Data!$BC$5,Data!$EJ$40,IF(G18=Data!$BC$4,Data!$EJ$20,Data!$EJ$2)))</f>
        <v>Special_Window_Timber</v>
      </c>
      <c r="EC18" s="66" t="str">
        <f>IF(OR(AND(T18="",Q18&lt;&gt;"")),VLOOKUP(Q18,Data!$FC$2:$FD$18,2,FALSE),"")</f>
        <v/>
      </c>
      <c r="ED18" s="66" t="str">
        <f>IF(OR(AND(U18="",Q18&lt;&gt;"")),VLOOKUP(Q18,Data!$FC$2:$FD$18,2,FALSE),"")</f>
        <v/>
      </c>
      <c r="EE18" s="66" t="str">
        <f>IF(OR(AND(V18="",Q18&lt;&gt;"")),VLOOKUP(Q18,Data!$FC$2:$FD$18,2,FALSE),"")</f>
        <v/>
      </c>
      <c r="EF18" s="162" t="e">
        <f>VLOOKUP(N18,Data!$MK$2:$ML$8,2,FALSE)</f>
        <v>#N/A</v>
      </c>
      <c r="EG18" s="66" t="e">
        <f>VLOOKUP(P18,Data!$DO$4:$DO$158,1,FALSE)</f>
        <v>#N/A</v>
      </c>
      <c r="EH18" s="66" t="e">
        <f t="shared" si="39"/>
        <v>#N/A</v>
      </c>
      <c r="EI18" s="55" t="str">
        <f t="shared" si="40"/>
        <v/>
      </c>
      <c r="EJ18" s="162" t="str">
        <f t="shared" si="41"/>
        <v>OK</v>
      </c>
      <c r="EK18" s="405" t="str">
        <f>Data!$JI$19</f>
        <v>TopBottomFrameAir</v>
      </c>
      <c r="EL18" s="405" t="b">
        <f>IF(G18=Data!$JH$18,EK18,EM18)</f>
        <v>0</v>
      </c>
      <c r="EM18" s="174" t="b">
        <f>IF(Q18=Data!$NN$3,Data!$NO$2, IF(Q18=Data!$NN$4,Data!$NP$2, IF(Q18=Data!$NN$5,Data!$NQ$2, IF(Q18=Data!$NN$6,Data!$NR$2, IF(Q18=Data!$NN$7,Data!$NS$2, IF(Q18=Data!$NN$8,Data!$NT$2, IF(Q18=Data!$NN$9,Data!$NU$2, IF(Q18=Data!$NN$10,Data!$NV$2, IF(Q18=Data!$NN$11,Data!$NW$2, IF(Q18=Data!$NN$12,Data!$NX$2, IF(Q18=Data!$NN$13,Data!$NY$2, IF(Q18=Data!$NN$14,Data!$NZ$2, IF(Q18=Data!$NN$15,Data!$OA$2, IF(Q18=Data!$NN$16,Data!$OB$2, IF(Q18=Data!$NN$17,Data!$OC$2, IF(Q18=Data!$NN$18,Data!$OD$2, IF(Q18=Data!$NN$19,Data!$OE$2, IF(Q18=Data!$NN$20,Data!$OG$2, IF(Q18=Data!$NN$25,Data!$NT$2, IF(Q18=Data!$NN$26,Data!$NT$2, IF(Q18=Data!$NN$27,Data!$NT$2, IF(Q18=Data!$NN$28,Data!$OH$2))))))))))))))))))))))</f>
        <v>0</v>
      </c>
      <c r="EN18" s="174" t="b">
        <f>IF(O18=$EN$7,Data!$OD$15,'Shutters Page 2'!EO18)</f>
        <v>0</v>
      </c>
      <c r="EO18" s="174" t="b">
        <f>IF(Q18=Data!$NN$3,Data!$NO$15,IF(Q18=Data!$NN$4,Data!$NP$15,IF(Q18=Data!$NN$5,Data!$NQ$15,IF(Q18=Data!$NN$6,Data!$NR$15,IF(Q18=Data!$NN$7,Data!$NS$15,IF(Q18=Data!$NN$8,Data!$NT$15,IF(Q18=Data!$NN$9,Data!$NU$15,IF(Q18=Data!$NN$10,Data!$NV$15,IF(Q18=Data!$NN$11,Data!$NW$15,IF(Q18=Data!$NN$12,Data!$NX$15,IF(Q18=Data!$NN$13,Data!$NY$15,IF(Q18=Data!$NN$14,Data!$NZ$15,IF(N18=Data!$NN$22,Data!$OA$15,IF(N18=Data!$NN$23,Data!$OB$15,IF(Q18=Data!$NN$19,Data!$OC$15, IF(Q18=Data!$NN$20,Data!$OG$15,IF(Q18=Data!$NN$25,Data!$NT$15,IF(Q18=Data!$NN$26,Data!$NT$15,IF(Q18=Data!$NN$27,Data!$NT$15,IF(Q18=Data!$NN$28,Data!$OH$15))))))))))))))))))))</f>
        <v>0</v>
      </c>
      <c r="EP18" s="406" t="str">
        <f>Data!$JI$19</f>
        <v>TopBottomFrameAir</v>
      </c>
      <c r="EQ18" s="406" t="b">
        <f>IF(G18=Data!$JH$18,EP18,EN18)</f>
        <v>0</v>
      </c>
      <c r="ER18" s="351" t="e">
        <f>MATCH(G18,Data!$CW$10:$CW$14,0)</f>
        <v>#N/A</v>
      </c>
      <c r="ES18" s="174" t="e">
        <f>MATCH(J18,Data!$CX$9:$DA$9,0)</f>
        <v>#N/A</v>
      </c>
      <c r="ET18" s="355" t="e">
        <f>INDEX(Data!$CX$10:$DA$14,'Shutters Page 2'!ER18,'Shutters Page 2'!ES18)</f>
        <v>#N/A</v>
      </c>
      <c r="EU18" s="355" t="e">
        <f>VLOOKUP(H18,Data!$BD$81:$BE$115,2,FALSE)</f>
        <v>#N/A</v>
      </c>
      <c r="EV18" s="355" t="e">
        <f>IF(EU18=Data!$BB$80,Data!$CW$20,'Shutters Page 2'!ET18)</f>
        <v>#N/A</v>
      </c>
      <c r="EW18" s="174" t="str">
        <f>IF(SUM(--ISNUMBER(SEARCH({"combo","Combo","COMBO"}, B35))),"Yes","No")</f>
        <v>No</v>
      </c>
      <c r="EX18" s="174" t="str">
        <f>IF(SUM(--ISNUMBER(SEARCH({"combo","Combo","COMBO"}, F35))),"Yes","No")</f>
        <v>No</v>
      </c>
      <c r="EY18" s="174" t="str">
        <f t="shared" si="60"/>
        <v>No</v>
      </c>
      <c r="EZ18" s="162">
        <f t="shared" si="42"/>
        <v>1</v>
      </c>
      <c r="FA18" s="162" t="e">
        <f t="shared" si="43"/>
        <v>#DIV/0!</v>
      </c>
      <c r="FB18" s="174" t="str">
        <f t="shared" si="44"/>
        <v/>
      </c>
      <c r="FC18" s="351" t="str">
        <f t="shared" si="45"/>
        <v/>
      </c>
      <c r="FD18" s="351" t="str">
        <f t="shared" si="46"/>
        <v/>
      </c>
      <c r="FE18" s="174" t="str">
        <f t="shared" si="47"/>
        <v/>
      </c>
      <c r="FF18" s="174" t="str">
        <f t="shared" si="48"/>
        <v/>
      </c>
      <c r="FG18" s="174" t="str">
        <f t="shared" si="49"/>
        <v/>
      </c>
      <c r="FH18" s="278" t="str">
        <f t="shared" si="61"/>
        <v>No</v>
      </c>
      <c r="FI18" s="351" t="e">
        <f>MATCH(G18,Data!$FH$18:$FL$18,0)</f>
        <v>#N/A</v>
      </c>
      <c r="FJ18" s="174" t="e">
        <f>MATCH(N18,Data!$FG$19:$FG$25,0)</f>
        <v>#N/A</v>
      </c>
      <c r="FK18" s="351" t="e">
        <f>INDEX(Data!$FH$19:$FL$25,'Shutters Page 2'!FJ18,'Shutters Page 2'!FI18)</f>
        <v>#N/A</v>
      </c>
      <c r="FL18" s="411" t="e">
        <f>MATCH(G18,Data!$FH$53:$FI$53,0)</f>
        <v>#N/A</v>
      </c>
      <c r="FM18" s="411" t="e">
        <f>MATCH(N18,Data!$FG$54:$FG$60,0)</f>
        <v>#N/A</v>
      </c>
      <c r="FN18" s="411" t="e">
        <f>INDEX(Data!$FH$54:$FI$60,'Shutters Page 2'!FM18,'Shutters Page 2'!FL18)</f>
        <v>#N/A</v>
      </c>
      <c r="FO18" s="411" t="e">
        <f>IF(E18=Data!$FH$35,'Shutters Page 2'!FN18,'Shutters Page 2'!FK18)</f>
        <v>#N/A</v>
      </c>
      <c r="FP18" s="351" t="e">
        <f>MATCH(G18,Data!$ME$26:$MG$26,0)</f>
        <v>#N/A</v>
      </c>
      <c r="FQ18" s="174" t="e">
        <f>MATCH(E18,Data!$MD$27:$MD$29,0)</f>
        <v>#N/A</v>
      </c>
      <c r="FR18" s="351" t="e">
        <f>INDEX(Data!$ME$27:$MG$29, 'Shutters Page 2'!FQ18, 'Shutters Page 2'!FP18)</f>
        <v>#N/A</v>
      </c>
      <c r="FS18" s="351" t="e">
        <f>MATCH(G18,Data!$AAF$1:$AAH$1,0)</f>
        <v>#N/A</v>
      </c>
      <c r="FT18" s="174" t="e">
        <f>MATCH(N18,Data!$AAE$2:$AAE$8,0)</f>
        <v>#N/A</v>
      </c>
      <c r="FU18" s="351" t="e">
        <f>INDEX(Data!$AAF$2:$AAH$8, 'Shutters Page 2'!FT18, 'Shutters Page 2'!FS18)</f>
        <v>#N/A</v>
      </c>
      <c r="FV18" s="351" t="e">
        <f>MATCH(G18,Data!$AAF$12:$AAH$12,0)</f>
        <v>#N/A</v>
      </c>
      <c r="FW18" s="174" t="e">
        <f>MATCH(N18,Data!$AAE$13:$AAE$19,0)</f>
        <v>#N/A</v>
      </c>
      <c r="FX18" s="351" t="e">
        <f>INDEX(Data!$AAF$13:$AAH$19, 'Shutters Page 2'!FW18, 'Shutters Page 2'!FV18)</f>
        <v>#N/A</v>
      </c>
      <c r="FY18" s="351" t="e">
        <f>MATCH(G18,Data!$AAK$1:$AAM$1,0)</f>
        <v>#N/A</v>
      </c>
      <c r="FZ18" s="174" t="e">
        <f>MATCH(Q18,Data!$AAJ$2,0)</f>
        <v>#N/A</v>
      </c>
      <c r="GA18" s="351" t="e">
        <f>INDEX(Data!$AAK$2:$AAM$2, 'Shutters Page 2'!FZ18, 'Shutters Page 2'!FY18)</f>
        <v>#N/A</v>
      </c>
      <c r="GB18" s="351" t="e">
        <f>MATCH(G18,Data!$AAK$12:$AAM$12,0)</f>
        <v>#N/A</v>
      </c>
      <c r="GC18" s="174" t="e">
        <f>MATCH(Q18,Data!$AAJ$13,0)</f>
        <v>#N/A</v>
      </c>
      <c r="GD18" s="351" t="e">
        <f>INDEX(Data!$AAK$13:$AAM$13, 'Shutters Page 2'!GC18, 'Shutters Page 2'!GB18)</f>
        <v>#N/A</v>
      </c>
      <c r="GE18" s="162" t="e">
        <f>VLOOKUP(H18,Data!$AAR$1:$AAS$35,2,FALSE)</f>
        <v>#N/A</v>
      </c>
      <c r="GF18" s="162" t="e">
        <f t="shared" si="50"/>
        <v>#N/A</v>
      </c>
      <c r="GG18" s="162" t="e">
        <f t="shared" si="51"/>
        <v>#N/A</v>
      </c>
      <c r="GH18" s="162" t="e">
        <f t="shared" si="52"/>
        <v>#N/A</v>
      </c>
      <c r="GI18" s="162" t="str">
        <f>IF(G18=Data!$NC$1,Data!$ND$1,Data!$NE$1)</f>
        <v>FauxwoodStile</v>
      </c>
      <c r="GL18" s="55" t="e">
        <f>VLOOKUP('Shutters Page 2'!H18,Data!$BD$81:$BE$115,2,FALSE)</f>
        <v>#N/A</v>
      </c>
      <c r="GM18" s="55" t="e">
        <f>IF(GL18=Data!$BB$80,"Yes", "No")</f>
        <v>#N/A</v>
      </c>
      <c r="GN18" s="55" t="e">
        <f>IF(GM18="Yes",Data!$EJ$57,'Shutters Page 2'!EB18)</f>
        <v>#N/A</v>
      </c>
      <c r="GQ18" s="55" t="b">
        <f>IF(G18=$GQ$6,Data!$EN$47,IF(G18='Shutters Page 2'!$GQ$7,Data!$EM$47))</f>
        <v>0</v>
      </c>
    </row>
    <row r="19" spans="1:199" ht="36.75" customHeight="1">
      <c r="A19" s="53">
        <v>11</v>
      </c>
      <c r="B19" s="17"/>
      <c r="C19" s="14"/>
      <c r="D19" s="14"/>
      <c r="E19" s="14"/>
      <c r="F19" s="10"/>
      <c r="G19" s="13"/>
      <c r="H19" s="555"/>
      <c r="I19" s="603"/>
      <c r="J19" s="14"/>
      <c r="K19" s="149" t="str">
        <f t="shared" si="0"/>
        <v/>
      </c>
      <c r="L19" s="15"/>
      <c r="M19" s="15"/>
      <c r="N19" s="15"/>
      <c r="O19" s="15"/>
      <c r="P19" s="15"/>
      <c r="Q19" s="486"/>
      <c r="R19" s="486"/>
      <c r="S19" s="13"/>
      <c r="T19" s="13"/>
      <c r="U19" s="13"/>
      <c r="V19" s="13"/>
      <c r="W19" s="15"/>
      <c r="X19" s="15"/>
      <c r="Y19" s="16"/>
      <c r="Z19" s="16"/>
      <c r="AA19" s="14"/>
      <c r="AB19" s="14"/>
      <c r="AC19" s="14"/>
      <c r="AD19" s="386"/>
      <c r="AE19" s="169" t="str">
        <f t="shared" si="1"/>
        <v/>
      </c>
      <c r="AF19" s="236"/>
      <c r="AG19" s="237"/>
      <c r="AI19" s="55">
        <f t="shared" si="2"/>
        <v>0</v>
      </c>
      <c r="AJ19" s="55">
        <f t="shared" si="3"/>
        <v>0</v>
      </c>
      <c r="AK19" s="55">
        <f>IF(P19&lt;&gt;"",VLOOKUP(P19,Data!$AAY$2:$AAZ$44,2,FALSE),0)</f>
        <v>0</v>
      </c>
      <c r="AL19" s="55" t="str">
        <f>IF(E19=Data!$BB$10,Data!$BC$10,Data!$BC$2)</f>
        <v>ShutterMaterial</v>
      </c>
      <c r="AP19" s="55" t="str">
        <f t="shared" si="53"/>
        <v>SlidingSystemNA</v>
      </c>
      <c r="AV19" s="114" t="str">
        <f t="shared" si="4"/>
        <v/>
      </c>
      <c r="AW19" s="66" t="e">
        <f t="shared" si="5"/>
        <v>#N/A</v>
      </c>
      <c r="AX19" s="174" t="e">
        <f>VLOOKUP(Q19,Data!$MI$2:$MJ$4,2,FALSE)</f>
        <v>#N/A</v>
      </c>
      <c r="AY19" s="174" t="e">
        <f t="shared" si="6"/>
        <v>#N/A</v>
      </c>
      <c r="AZ19" s="174" t="e">
        <f>VLOOKUP(N19,Data!$BI$24:$BJ$30,2,FALSE)</f>
        <v>#N/A</v>
      </c>
      <c r="BA19" s="160" t="b">
        <f>IF(G19=Data!$BO$2,Data!$BS$2, IF('Shutters Page 2'!G19=Data!$BP$2,Data!$BT$2, IF('Shutters Page 2'!G19=Data!$BQ$2,Data!$BU$2)))</f>
        <v>0</v>
      </c>
      <c r="BB19" s="361" t="str">
        <f t="shared" si="7"/>
        <v>No</v>
      </c>
      <c r="BC19" s="160" t="e">
        <f t="shared" si="8"/>
        <v>#DIV/0!</v>
      </c>
      <c r="BD19" s="361" t="e">
        <f t="shared" si="9"/>
        <v>#DIV/0!</v>
      </c>
      <c r="BE19" s="160" t="e">
        <f t="shared" si="10"/>
        <v>#DIV/0!</v>
      </c>
      <c r="BF19" s="361" t="str">
        <f t="shared" si="11"/>
        <v>No</v>
      </c>
      <c r="BG19" s="160" t="str">
        <f t="shared" si="12"/>
        <v>NotRequired</v>
      </c>
      <c r="BH19" s="160" t="b">
        <f>IF(G19=Data!$BO$2,Data!$CM$2, IF('Shutters Page 2'!G19=Data!$BP$2,Data!$CN$2, IF('Shutters Page 2'!G19=Data!$BQ$2,Data!$CO$2)))</f>
        <v>0</v>
      </c>
      <c r="BI19" s="160" t="e">
        <f t="shared" si="54"/>
        <v>#DIV/0!</v>
      </c>
      <c r="BJ19" s="161" t="str">
        <f t="shared" si="13"/>
        <v>NoHighlight</v>
      </c>
      <c r="BK19" s="361" t="str">
        <f t="shared" si="14"/>
        <v>FauxwoodRPNo</v>
      </c>
      <c r="BL19" s="161" t="str">
        <f>IF(SUM(--ISNUMBER( SEARCH({"t","T"},P19))),"Yes","No")</f>
        <v>No</v>
      </c>
      <c r="BM19" s="161" t="str">
        <f t="shared" si="15"/>
        <v>OK</v>
      </c>
      <c r="BN19" s="161" t="str">
        <f t="shared" si="16"/>
        <v>OK</v>
      </c>
      <c r="BO19" s="161" t="str">
        <f t="shared" si="17"/>
        <v>OK</v>
      </c>
      <c r="BP19" s="161" t="e">
        <f>IF(OR(AND(F19&gt;1,#REF!="L",#REF!="l"),AND(F19&gt;1,#REF!="R",#REF!="r"),AND(F19&gt;2,#REF!="LR",#REF!="lr")), "Error","OK")</f>
        <v>#REF!</v>
      </c>
      <c r="BQ19" s="161" t="str">
        <f t="shared" si="18"/>
        <v>FauxwoodAINo</v>
      </c>
      <c r="BR19" s="161" t="str">
        <f>IF(SUM(--ISNUMBER(SEARCH({"combo","Combo","COMBO"}, B36))),"Yes","No")</f>
        <v>No</v>
      </c>
      <c r="BS19" s="161" t="str">
        <f t="shared" si="55"/>
        <v>No</v>
      </c>
      <c r="BT19" s="161" t="str">
        <f>IF(SUM(--ISNUMBER( SEARCH({"c","C","b","B"},#REF!))),"Yes","No")</f>
        <v>No</v>
      </c>
      <c r="BU19" s="162">
        <f t="shared" si="19"/>
        <v>0</v>
      </c>
      <c r="BV19" s="174" t="str">
        <f>IF(N19=Data!$BI$3,Data!$DR$3,IF(N19=Data!$BI$4,Data!$DS$3,IF(N19=Data!$BI$5,Data!$DT$3,IF(N19=Data!$BI$6,Data!$DU$3,IF(N19=Data!$BI$7,Data!$DV$3, IF(N19=Data!$BI$8,Data!$DX$3, IF(N19=Data!$BI$9,Data!$DW$3, "")))))))</f>
        <v/>
      </c>
      <c r="BW19" s="174" t="str">
        <f>IF(N19=Data!$BI$3,Data!$DY$3,IF(N19=Data!$BI$4,Data!$DZ$3,IF(N19=Data!$BI$5,Data!$EA$3,IF(N19=Data!$BI$6,Data!$EB$3,IF(N19=Data!$BI$7,Data!$EC$3,IF(N19=Data!$BI$8,Data!$EE$3, IF(N19=Data!$BI$9,Data!$ED$3,"")))))))</f>
        <v/>
      </c>
      <c r="BX19" s="162">
        <f t="shared" si="20"/>
        <v>0</v>
      </c>
      <c r="BY19" s="162">
        <f t="shared" si="21"/>
        <v>0</v>
      </c>
      <c r="BZ19" s="174" t="e">
        <f t="shared" si="22"/>
        <v>#DIV/0!</v>
      </c>
      <c r="CA19" s="351" t="b">
        <f>IF(G19=Data!$EU$2,Data!$ES$2,IF(G19=Data!$EU$3,Data!$ER$2, IF(G19=Data!$EU$5,Data!$ET$2, IF(G19=Data!$EU$4,Data!$EQ$2,IF(G19=Data!$EU$6,Data!$ER$2)))))</f>
        <v>0</v>
      </c>
      <c r="CB19" s="351" t="b">
        <f>IF(G19=Data!$EU$2,Data!$EW$2,IF(G19=Data!$EU$3,Data!$EX$2,IF(G19=Data!$EU$4,Data!$EY$2, IF(G19=Data!$EU$5,Data!$EY$2,IF(G19=Data!$EU$6,Data!$EX$2)))))</f>
        <v>0</v>
      </c>
      <c r="CC19" s="174" t="e">
        <f>VLOOKUP(M19,Data!$EJ$3:$EK$15,2,FALSE)</f>
        <v>#N/A</v>
      </c>
      <c r="CD19" s="174" t="str">
        <f>IF(J19="114mm",VLOOKUP(H19,Data!$FA$2:$FB$18,2,FALSE),"OK")</f>
        <v>OK</v>
      </c>
      <c r="CE19" s="174" t="e">
        <f t="shared" si="23"/>
        <v>#DIV/0!</v>
      </c>
      <c r="CF19" s="174" t="str">
        <f>IF(OR(AND(S19="",Q19&lt;&gt;"")),VLOOKUP(Q19,Data!$FC$2:$FD$19,2,FALSE),"")</f>
        <v/>
      </c>
      <c r="CG19" s="174" t="str">
        <f>IF(N19=Data!$BI$3,Data!$FJ$1,IF(N19=Data!$BI$4,Data!$FK$1,IF(N19=Data!$BI$5,Data!$FL$1,IF(N19=Data!$BI$6,Data!$FM$1,IF(N19=Data!$BI$7,Data!$FN$1, IF(N19=Data!$BI$8,Data!$FO$1, IF(N19=Data!$BI$9,Data!$FI$1, "")))))))</f>
        <v/>
      </c>
      <c r="CH19" s="174" t="str">
        <f>IF(SUM(--ISNUMBER(SEARCH({"z","Z"}, Q19))),"Yes","No")</f>
        <v>No</v>
      </c>
      <c r="CI19" s="174" t="str">
        <f t="shared" si="24"/>
        <v>OK</v>
      </c>
      <c r="CJ19" s="174">
        <f t="shared" si="25"/>
        <v>0</v>
      </c>
      <c r="CK19" s="174" t="e">
        <f>VLOOKUP(P19,Data!$DO$4:$DP$157,2,FALSE)</f>
        <v>#N/A</v>
      </c>
      <c r="CL19" s="174" t="e">
        <f t="shared" si="26"/>
        <v>#N/A</v>
      </c>
      <c r="CM19" s="162"/>
      <c r="CN19" s="162"/>
      <c r="CO19" s="162"/>
      <c r="CP19" s="366" t="str">
        <f t="shared" si="27"/>
        <v>OK</v>
      </c>
      <c r="CQ19" s="174" t="b">
        <f t="shared" si="28"/>
        <v>0</v>
      </c>
      <c r="CR19" s="174">
        <f t="shared" si="29"/>
        <v>0</v>
      </c>
      <c r="CS19" s="174">
        <f t="shared" si="30"/>
        <v>1</v>
      </c>
      <c r="CT19" s="174">
        <f t="shared" si="56"/>
        <v>0</v>
      </c>
      <c r="CU19" s="162" t="e">
        <f t="shared" si="31"/>
        <v>#DIV/0!</v>
      </c>
      <c r="CV19" s="162" t="e">
        <f>VLOOKUP(H19,Data!$BD$81:$BE$111,2,FALSE)</f>
        <v>#N/A</v>
      </c>
      <c r="CW19" s="174" t="str">
        <f t="shared" si="32"/>
        <v/>
      </c>
      <c r="CX19" s="292" t="str">
        <f>IF(H19=Data!$BE$3,Data!$HQ$2, IF(H19=Data!$BE$4,Data!$HP$2, IF(H19=Data!$BE$5,Data!$HR$2, IF(H19=Data!$BE$6,Data!$HO$2))))</f>
        <v>Super WhiteNA</v>
      </c>
      <c r="CY19" s="351" t="b">
        <f>IF(H19=Data!$BH$3,Data!$HU$2, IF(H19=Data!$BH$4,Data!$HT$2, IF(H19=Data!$BH$5,Data!$HS$2)))</f>
        <v>0</v>
      </c>
      <c r="CZ19" s="351" t="b">
        <f>IF(H19=Data!$BF$3,Data!$HQ$16, IF(H19=Data!$BF$4,Data!$HP$16, IF(H19=Data!$BF$5,Data!$HR$16, IF(H19=Data!$BF$6,Data!$HO$16))))</f>
        <v>0</v>
      </c>
      <c r="DA19" s="351" t="b">
        <f>IF(G19=Data!$BC$3,'Shutters Page 2'!CW19,IF(G19=Data!$BC$4,'Shutters Page 2'!CX19,IF(G19=Data!$BC$6,'Shutters Page 2'!CY19, IF(G19=Data!$BC$5, 'Shutters Page 2'!CX19,IF(G19=Data!$BC$7,'Shutters Page 2'!CX19)))))</f>
        <v>0</v>
      </c>
      <c r="DB19" s="162" t="e">
        <f>IF(OR(AND(L19&gt;0,#REF!="")), "Error","OK")</f>
        <v>#REF!</v>
      </c>
      <c r="DC19" s="174" t="e">
        <f>IF(COUNTIF(#REF!,Data!$CX$6),"Yes","")</f>
        <v>#REF!</v>
      </c>
      <c r="DD19" s="55" t="str">
        <f t="shared" si="33"/>
        <v/>
      </c>
      <c r="DG19" s="55" t="str">
        <f>IF(N19=Data!$BI$5,"Yes",IF(N19=Data!$BI$6,"Yes","No"))</f>
        <v>No</v>
      </c>
      <c r="DH19" s="66" t="b">
        <f>IF(N19=Data!$BI$3,Data!$JB$2,IF(N19=Data!$BI$4,Data!$JC$2,IF(N19=Data!$BI$5,Data!$JD$2,IF(N19=Data!$BI$6,DI19,IF(N19=Data!$BI$7,Data!$JF$2, IF(N19=Data!$BI$8,Data!$JA$2, IF(N19=Data!$BI$9,Data!$JG$2)))))))</f>
        <v>0</v>
      </c>
      <c r="DI19" s="55" t="e">
        <f>VLOOKUP(P19,Data!$AAY$2:$ABA$44,3,FALSE)</f>
        <v>#N/A</v>
      </c>
      <c r="DK19" s="66" t="e">
        <f>VLOOKUP(P19,Data!$DO$4:$DQ$157,3,FALSE)</f>
        <v>#N/A</v>
      </c>
      <c r="DL19" s="55" t="e">
        <f t="shared" si="34"/>
        <v>#N/A</v>
      </c>
      <c r="DM19" s="55" t="e">
        <f t="shared" si="57"/>
        <v>#N/A</v>
      </c>
      <c r="DN19" s="162" t="b">
        <f>IF(Q19=Data!$BK$3,Data!$JH$2,IF(Q19=Data!$BK$4,Data!$JI$2,IF(Q19=Data!$BK$5,Data!$JJ$2,IF(Q19=Data!$BK$6,Data!$JK$2,IF(Q19=Data!$BK$7,Data!$JL$2,IF(Q19=Data!$BK$8,Data!$JM$2,IF(Q19=Data!$BK$9,Data!$JN$2,IF(Q19=Data!$BK$10,Data!$JO$2,IF(Q19=Data!$BK$11,Data!$JP$2,IF(Q19=Data!$BK$12,Data!$JQ$2,IF(Q19=Data!$BK$13,Data!$JR$2,IF(Q19=Data!$BK$14,Data!$JS$2,IF(Q19=Data!$BK$15,Data!$JT$2,IF(Q19=Data!$BK$16,Data!$JU$2,IF(Q19=Data!$BK$17,Data!$JV$2,IF(Q19=Data!$BK$18,Data!$JW$2, IF(Q19=Data!$BK$19,Data!$JX$2, IF(Q19=Data!$BK$20,Data!$JY$2, IF(Q19=Data!$BK$21,Data!$JN$2, IF(Q19=Data!$BK$22,Data!$JN$2, IF(Q19=Data!$BK$23,Data!$JN$2, IF(Q19=Data!$BK$24,Data!$JL$19))))))))))))))))))))))</f>
        <v>0</v>
      </c>
      <c r="DO19" s="55" t="str">
        <f>Data!$JH$19</f>
        <v>LRFrameAir</v>
      </c>
      <c r="DP19" s="55" t="b">
        <f>IF(G19=Data!$JH$18,'Shutters Page 2'!DO19,'Shutters Page 2'!DN19)</f>
        <v>0</v>
      </c>
      <c r="DR19" s="174" t="str">
        <f t="shared" si="58"/>
        <v/>
      </c>
      <c r="DS19" s="174" t="e">
        <f t="shared" si="59"/>
        <v>#N/A</v>
      </c>
      <c r="DT19" s="174" t="str">
        <f t="shared" si="35"/>
        <v>OK</v>
      </c>
      <c r="DU19" s="174" t="str">
        <f t="shared" si="36"/>
        <v>OK</v>
      </c>
      <c r="DV19" s="174" t="str">
        <f t="shared" si="37"/>
        <v>OK</v>
      </c>
      <c r="DW19" s="174" t="str">
        <f t="shared" si="38"/>
        <v>OK</v>
      </c>
      <c r="DX19" s="66" t="b">
        <f>IF(N19=Data!$LW$2,Data!$LX$1,IF(N19=Data!$LW$3,Data!$LY$1,IF(N19=Data!$LW$4,Data!$LZ$1,IF(N19=Data!$LW$5,Data!$MA$1,IF(N19=Data!$LW$6,Data!$MB$1,IF(N19=Data!$LW$7,Data!$MC$1, IF(N19=Data!$LW$8,Data!$MX$1)))))))</f>
        <v>0</v>
      </c>
      <c r="DY19" s="66" t="b">
        <f>IF(N19=Data!$LW$2,Data!$LX$147,IF(N19=Data!$LW$7,Data!$MC$1))</f>
        <v>0</v>
      </c>
      <c r="DZ19" s="66" t="b">
        <f>IF(G19=Data!$BC$3,'Shutters Page 2'!DX19,IF(G19=Data!$BC$5,'Shutters Page 2'!DY19))</f>
        <v>0</v>
      </c>
      <c r="EA19" s="66" t="b">
        <f>IF(E19=Data!$MD$2,Data!$ME$2, IF(E19=Data!$MD$3,Data!$MF$2, IF(E19=Data!$MD$4,Data!$MG$2)))</f>
        <v>0</v>
      </c>
      <c r="EB19" s="162" t="str">
        <f>IF(E19="MS",Data!$AK$1,IF(G19=Data!$BC$5,Data!$EJ$40,IF(G19=Data!$BC$4,Data!$EJ$20,Data!$EJ$2)))</f>
        <v>Special_Window_Timber</v>
      </c>
      <c r="EC19" s="66" t="str">
        <f>IF(OR(AND(T19="",Q19&lt;&gt;"")),VLOOKUP(Q19,Data!$FC$2:$FD$18,2,FALSE),"")</f>
        <v/>
      </c>
      <c r="ED19" s="66" t="str">
        <f>IF(OR(AND(U19="",Q19&lt;&gt;"")),VLOOKUP(Q19,Data!$FC$2:$FD$18,2,FALSE),"")</f>
        <v/>
      </c>
      <c r="EE19" s="66" t="str">
        <f>IF(OR(AND(V19="",Q19&lt;&gt;"")),VLOOKUP(Q19,Data!$FC$2:$FD$18,2,FALSE),"")</f>
        <v/>
      </c>
      <c r="EF19" s="162" t="e">
        <f>VLOOKUP(N19,Data!$MK$2:$ML$8,2,FALSE)</f>
        <v>#N/A</v>
      </c>
      <c r="EG19" s="66" t="e">
        <f>VLOOKUP(P19,Data!$DO$4:$DO$158,1,FALSE)</f>
        <v>#N/A</v>
      </c>
      <c r="EH19" s="66" t="e">
        <f t="shared" si="39"/>
        <v>#N/A</v>
      </c>
      <c r="EI19" s="55" t="str">
        <f t="shared" si="40"/>
        <v/>
      </c>
      <c r="EJ19" s="162" t="str">
        <f t="shared" si="41"/>
        <v>OK</v>
      </c>
      <c r="EK19" s="405" t="str">
        <f>Data!$JI$19</f>
        <v>TopBottomFrameAir</v>
      </c>
      <c r="EL19" s="405" t="b">
        <f>IF(G19=Data!$JH$18,EK19,EM19)</f>
        <v>0</v>
      </c>
      <c r="EM19" s="174" t="b">
        <f>IF(Q19=Data!$NN$3,Data!$NO$2, IF(Q19=Data!$NN$4,Data!$NP$2, IF(Q19=Data!$NN$5,Data!$NQ$2, IF(Q19=Data!$NN$6,Data!$NR$2, IF(Q19=Data!$NN$7,Data!$NS$2, IF(Q19=Data!$NN$8,Data!$NT$2, IF(Q19=Data!$NN$9,Data!$NU$2, IF(Q19=Data!$NN$10,Data!$NV$2, IF(Q19=Data!$NN$11,Data!$NW$2, IF(Q19=Data!$NN$12,Data!$NX$2, IF(Q19=Data!$NN$13,Data!$NY$2, IF(Q19=Data!$NN$14,Data!$NZ$2, IF(Q19=Data!$NN$15,Data!$OA$2, IF(Q19=Data!$NN$16,Data!$OB$2, IF(Q19=Data!$NN$17,Data!$OC$2, IF(Q19=Data!$NN$18,Data!$OD$2, IF(Q19=Data!$NN$19,Data!$OE$2, IF(Q19=Data!$NN$20,Data!$OG$2, IF(Q19=Data!$NN$25,Data!$NT$2, IF(Q19=Data!$NN$26,Data!$NT$2, IF(Q19=Data!$NN$27,Data!$NT$2, IF(Q19=Data!$NN$28,Data!$OH$2))))))))))))))))))))))</f>
        <v>0</v>
      </c>
      <c r="EN19" s="174" t="b">
        <f>IF(O19=$EN$7,Data!$OD$15,'Shutters Page 2'!EO19)</f>
        <v>0</v>
      </c>
      <c r="EO19" s="174" t="b">
        <f>IF(Q19=Data!$NN$3,Data!$NO$15,IF(Q19=Data!$NN$4,Data!$NP$15,IF(Q19=Data!$NN$5,Data!$NQ$15,IF(Q19=Data!$NN$6,Data!$NR$15,IF(Q19=Data!$NN$7,Data!$NS$15,IF(Q19=Data!$NN$8,Data!$NT$15,IF(Q19=Data!$NN$9,Data!$NU$15,IF(Q19=Data!$NN$10,Data!$NV$15,IF(Q19=Data!$NN$11,Data!$NW$15,IF(Q19=Data!$NN$12,Data!$NX$15,IF(Q19=Data!$NN$13,Data!$NY$15,IF(Q19=Data!$NN$14,Data!$NZ$15,IF(N19=Data!$NN$22,Data!$OA$15,IF(N19=Data!$NN$23,Data!$OB$15,IF(Q19=Data!$NN$19,Data!$OC$15, IF(Q19=Data!$NN$20,Data!$OG$15,IF(Q19=Data!$NN$25,Data!$NT$15,IF(Q19=Data!$NN$26,Data!$NT$15,IF(Q19=Data!$NN$27,Data!$NT$15,IF(Q19=Data!$NN$28,Data!$OH$15))))))))))))))))))))</f>
        <v>0</v>
      </c>
      <c r="EP19" s="406" t="str">
        <f>Data!$JI$19</f>
        <v>TopBottomFrameAir</v>
      </c>
      <c r="EQ19" s="406" t="b">
        <f>IF(G19=Data!$JH$18,EP19,EN19)</f>
        <v>0</v>
      </c>
      <c r="ER19" s="351" t="e">
        <f>MATCH(G19,Data!$CW$10:$CW$14,0)</f>
        <v>#N/A</v>
      </c>
      <c r="ES19" s="174" t="e">
        <f>MATCH(J19,Data!$CX$9:$DA$9,0)</f>
        <v>#N/A</v>
      </c>
      <c r="ET19" s="355" t="e">
        <f>INDEX(Data!$CX$10:$DA$14,'Shutters Page 2'!ER19,'Shutters Page 2'!ES19)</f>
        <v>#N/A</v>
      </c>
      <c r="EU19" s="355" t="e">
        <f>VLOOKUP(H19,Data!$BD$81:$BE$115,2,FALSE)</f>
        <v>#N/A</v>
      </c>
      <c r="EV19" s="355" t="e">
        <f>IF(EU19=Data!$BB$80,Data!$CW$20,'Shutters Page 2'!ET19)</f>
        <v>#N/A</v>
      </c>
      <c r="EW19" s="174" t="str">
        <f>IF(SUM(--ISNUMBER(SEARCH({"combo","Combo","COMBO"}, B36))),"Yes","No")</f>
        <v>No</v>
      </c>
      <c r="EX19" s="174" t="str">
        <f>IF(SUM(--ISNUMBER(SEARCH({"combo","Combo","COMBO"}, F36))),"Yes","No")</f>
        <v>No</v>
      </c>
      <c r="EY19" s="174" t="str">
        <f t="shared" si="60"/>
        <v>No</v>
      </c>
      <c r="EZ19" s="162">
        <f t="shared" si="42"/>
        <v>1</v>
      </c>
      <c r="FA19" s="162" t="e">
        <f t="shared" si="43"/>
        <v>#DIV/0!</v>
      </c>
      <c r="FB19" s="174" t="str">
        <f t="shared" si="44"/>
        <v/>
      </c>
      <c r="FC19" s="351" t="str">
        <f t="shared" si="45"/>
        <v/>
      </c>
      <c r="FD19" s="351" t="str">
        <f t="shared" si="46"/>
        <v/>
      </c>
      <c r="FE19" s="174" t="str">
        <f t="shared" si="47"/>
        <v/>
      </c>
      <c r="FF19" s="174" t="str">
        <f t="shared" si="48"/>
        <v/>
      </c>
      <c r="FG19" s="174" t="str">
        <f t="shared" si="49"/>
        <v/>
      </c>
      <c r="FH19" s="278" t="str">
        <f t="shared" si="61"/>
        <v>No</v>
      </c>
      <c r="FI19" s="351" t="e">
        <f>MATCH(G19,Data!$FH$18:$FL$18,0)</f>
        <v>#N/A</v>
      </c>
      <c r="FJ19" s="174" t="e">
        <f>MATCH(N19,Data!$FG$19:$FG$25,0)</f>
        <v>#N/A</v>
      </c>
      <c r="FK19" s="351" t="e">
        <f>INDEX(Data!$FH$19:$FL$25,'Shutters Page 2'!FJ19,'Shutters Page 2'!FI19)</f>
        <v>#N/A</v>
      </c>
      <c r="FL19" s="411" t="e">
        <f>MATCH(G19,Data!$FH$53:$FI$53,0)</f>
        <v>#N/A</v>
      </c>
      <c r="FM19" s="411" t="e">
        <f>MATCH(N19,Data!$FG$54:$FG$60,0)</f>
        <v>#N/A</v>
      </c>
      <c r="FN19" s="411" t="e">
        <f>INDEX(Data!$FH$54:$FI$60,'Shutters Page 2'!FM19,'Shutters Page 2'!FL19)</f>
        <v>#N/A</v>
      </c>
      <c r="FO19" s="411" t="e">
        <f>IF(E19=Data!$FH$35,'Shutters Page 2'!FN19,'Shutters Page 2'!FK19)</f>
        <v>#N/A</v>
      </c>
      <c r="FP19" s="351" t="e">
        <f>MATCH(G19,Data!$ME$26:$MG$26,0)</f>
        <v>#N/A</v>
      </c>
      <c r="FQ19" s="174" t="e">
        <f>MATCH(E19,Data!$MD$27:$MD$29,0)</f>
        <v>#N/A</v>
      </c>
      <c r="FR19" s="351" t="e">
        <f>INDEX(Data!$ME$27:$MG$29, 'Shutters Page 2'!FQ19, 'Shutters Page 2'!FP19)</f>
        <v>#N/A</v>
      </c>
      <c r="FS19" s="351" t="e">
        <f>MATCH(G19,Data!$AAF$1:$AAH$1,0)</f>
        <v>#N/A</v>
      </c>
      <c r="FT19" s="174" t="e">
        <f>MATCH(N19,Data!$AAE$2:$AAE$8,0)</f>
        <v>#N/A</v>
      </c>
      <c r="FU19" s="351" t="e">
        <f>INDEX(Data!$AAF$2:$AAH$8, 'Shutters Page 2'!FT19, 'Shutters Page 2'!FS19)</f>
        <v>#N/A</v>
      </c>
      <c r="FV19" s="351" t="e">
        <f>MATCH(G19,Data!$AAF$12:$AAH$12,0)</f>
        <v>#N/A</v>
      </c>
      <c r="FW19" s="174" t="e">
        <f>MATCH(N19,Data!$AAE$13:$AAE$19,0)</f>
        <v>#N/A</v>
      </c>
      <c r="FX19" s="351" t="e">
        <f>INDEX(Data!$AAF$13:$AAH$19, 'Shutters Page 2'!FW19, 'Shutters Page 2'!FV19)</f>
        <v>#N/A</v>
      </c>
      <c r="FY19" s="351" t="e">
        <f>MATCH(G19,Data!$AAK$1:$AAM$1,0)</f>
        <v>#N/A</v>
      </c>
      <c r="FZ19" s="174" t="e">
        <f>MATCH(Q19,Data!$AAJ$2,0)</f>
        <v>#N/A</v>
      </c>
      <c r="GA19" s="351" t="e">
        <f>INDEX(Data!$AAK$2:$AAM$2, 'Shutters Page 2'!FZ19, 'Shutters Page 2'!FY19)</f>
        <v>#N/A</v>
      </c>
      <c r="GB19" s="351" t="e">
        <f>MATCH(G19,Data!$AAK$12:$AAM$12,0)</f>
        <v>#N/A</v>
      </c>
      <c r="GC19" s="174" t="e">
        <f>MATCH(Q19,Data!$AAJ$13,0)</f>
        <v>#N/A</v>
      </c>
      <c r="GD19" s="351" t="e">
        <f>INDEX(Data!$AAK$13:$AAM$13, 'Shutters Page 2'!GC19, 'Shutters Page 2'!GB19)</f>
        <v>#N/A</v>
      </c>
      <c r="GE19" s="162" t="e">
        <f>VLOOKUP(H19,Data!$AAR$1:$AAS$35,2,FALSE)</f>
        <v>#N/A</v>
      </c>
      <c r="GF19" s="162" t="e">
        <f t="shared" si="50"/>
        <v>#N/A</v>
      </c>
      <c r="GG19" s="162" t="e">
        <f t="shared" si="51"/>
        <v>#N/A</v>
      </c>
      <c r="GH19" s="162" t="e">
        <f t="shared" si="52"/>
        <v>#N/A</v>
      </c>
      <c r="GI19" s="162" t="str">
        <f>IF(G19=Data!$NC$1,Data!$ND$1,Data!$NE$1)</f>
        <v>FauxwoodStile</v>
      </c>
      <c r="GL19" s="55" t="e">
        <f>VLOOKUP('Shutters Page 2'!H19,Data!$BD$81:$BE$115,2,FALSE)</f>
        <v>#N/A</v>
      </c>
      <c r="GM19" s="55" t="e">
        <f>IF(GL19=Data!$BB$80,"Yes", "No")</f>
        <v>#N/A</v>
      </c>
      <c r="GN19" s="55" t="e">
        <f>IF(GM19="Yes",Data!$EJ$57,'Shutters Page 2'!EB19)</f>
        <v>#N/A</v>
      </c>
      <c r="GQ19" s="55" t="b">
        <f>IF(G19=$GQ$6,Data!$EN$47,IF(G19='Shutters Page 2'!$GQ$7,Data!$EM$47))</f>
        <v>0</v>
      </c>
    </row>
    <row r="20" spans="1:199" ht="36.75" customHeight="1">
      <c r="A20" s="53">
        <v>12</v>
      </c>
      <c r="B20" s="17"/>
      <c r="C20" s="14"/>
      <c r="D20" s="14"/>
      <c r="E20" s="14"/>
      <c r="F20" s="10"/>
      <c r="G20" s="13"/>
      <c r="H20" s="555"/>
      <c r="I20" s="603"/>
      <c r="J20" s="14"/>
      <c r="K20" s="149" t="str">
        <f t="shared" si="0"/>
        <v/>
      </c>
      <c r="L20" s="15"/>
      <c r="M20" s="15"/>
      <c r="N20" s="15"/>
      <c r="O20" s="15"/>
      <c r="P20" s="15"/>
      <c r="Q20" s="486"/>
      <c r="R20" s="486"/>
      <c r="S20" s="13"/>
      <c r="T20" s="13"/>
      <c r="U20" s="13"/>
      <c r="V20" s="13"/>
      <c r="W20" s="15"/>
      <c r="X20" s="15"/>
      <c r="Y20" s="16"/>
      <c r="Z20" s="16"/>
      <c r="AA20" s="14"/>
      <c r="AB20" s="14"/>
      <c r="AC20" s="14"/>
      <c r="AD20" s="386"/>
      <c r="AE20" s="169" t="str">
        <f t="shared" si="1"/>
        <v/>
      </c>
      <c r="AF20" s="236"/>
      <c r="AG20" s="237"/>
      <c r="AI20" s="55">
        <f t="shared" si="2"/>
        <v>0</v>
      </c>
      <c r="AJ20" s="55">
        <f t="shared" si="3"/>
        <v>0</v>
      </c>
      <c r="AK20" s="55">
        <f>IF(P20&lt;&gt;"",VLOOKUP(P20,Data!$AAY$2:$AAZ$44,2,FALSE),0)</f>
        <v>0</v>
      </c>
      <c r="AL20" s="55" t="str">
        <f>IF(E20=Data!$BB$10,Data!$BC$10,Data!$BC$2)</f>
        <v>ShutterMaterial</v>
      </c>
      <c r="AP20" s="55" t="str">
        <f t="shared" si="53"/>
        <v>SlidingSystemNA</v>
      </c>
      <c r="AV20" s="114" t="str">
        <f t="shared" si="4"/>
        <v/>
      </c>
      <c r="AW20" s="66" t="e">
        <f t="shared" si="5"/>
        <v>#N/A</v>
      </c>
      <c r="AX20" s="174" t="e">
        <f>VLOOKUP(Q20,Data!$MI$2:$MJ$4,2,FALSE)</f>
        <v>#N/A</v>
      </c>
      <c r="AY20" s="174" t="e">
        <f t="shared" si="6"/>
        <v>#N/A</v>
      </c>
      <c r="AZ20" s="174" t="e">
        <f>VLOOKUP(N20,Data!$BI$24:$BJ$30,2,FALSE)</f>
        <v>#N/A</v>
      </c>
      <c r="BA20" s="160" t="b">
        <f>IF(G20=Data!$BO$2,Data!$BS$2, IF('Shutters Page 2'!G20=Data!$BP$2,Data!$BT$2, IF('Shutters Page 2'!G20=Data!$BQ$2,Data!$BU$2)))</f>
        <v>0</v>
      </c>
      <c r="BB20" s="361" t="str">
        <f t="shared" si="7"/>
        <v>No</v>
      </c>
      <c r="BC20" s="160" t="e">
        <f t="shared" si="8"/>
        <v>#DIV/0!</v>
      </c>
      <c r="BD20" s="361" t="e">
        <f t="shared" si="9"/>
        <v>#DIV/0!</v>
      </c>
      <c r="BE20" s="160" t="e">
        <f t="shared" si="10"/>
        <v>#DIV/0!</v>
      </c>
      <c r="BF20" s="361" t="str">
        <f t="shared" si="11"/>
        <v>No</v>
      </c>
      <c r="BG20" s="160" t="str">
        <f t="shared" si="12"/>
        <v>NotRequired</v>
      </c>
      <c r="BH20" s="160" t="b">
        <f>IF(G20=Data!$BO$2,Data!$CM$2, IF('Shutters Page 2'!G20=Data!$BP$2,Data!$CN$2, IF('Shutters Page 2'!G20=Data!$BQ$2,Data!$CO$2)))</f>
        <v>0</v>
      </c>
      <c r="BI20" s="160" t="e">
        <f t="shared" si="54"/>
        <v>#DIV/0!</v>
      </c>
      <c r="BJ20" s="161" t="str">
        <f t="shared" si="13"/>
        <v>NoHighlight</v>
      </c>
      <c r="BK20" s="361" t="str">
        <f t="shared" si="14"/>
        <v>FauxwoodRPNo</v>
      </c>
      <c r="BL20" s="161" t="str">
        <f>IF(SUM(--ISNUMBER( SEARCH({"t","T"},P20))),"Yes","No")</f>
        <v>No</v>
      </c>
      <c r="BM20" s="161" t="str">
        <f t="shared" si="15"/>
        <v>OK</v>
      </c>
      <c r="BN20" s="161" t="str">
        <f t="shared" si="16"/>
        <v>OK</v>
      </c>
      <c r="BO20" s="161" t="str">
        <f t="shared" si="17"/>
        <v>OK</v>
      </c>
      <c r="BP20" s="161" t="e">
        <f>IF(OR(AND(F20&gt;1,#REF!="L",#REF!="l"),AND(F20&gt;1,#REF!="R",#REF!="r"),AND(F20&gt;2,#REF!="LR",#REF!="lr")), "Error","OK")</f>
        <v>#REF!</v>
      </c>
      <c r="BQ20" s="161" t="str">
        <f t="shared" si="18"/>
        <v>FauxwoodAINo</v>
      </c>
      <c r="BR20" s="161" t="str">
        <f>IF(SUM(--ISNUMBER(SEARCH({"combo","Combo","COMBO"}, B37))),"Yes","No")</f>
        <v>No</v>
      </c>
      <c r="BS20" s="161" t="str">
        <f t="shared" si="55"/>
        <v>No</v>
      </c>
      <c r="BT20" s="161" t="str">
        <f>IF(SUM(--ISNUMBER( SEARCH({"c","C","b","B"},#REF!))),"Yes","No")</f>
        <v>No</v>
      </c>
      <c r="BU20" s="162">
        <f t="shared" si="19"/>
        <v>0</v>
      </c>
      <c r="BV20" s="174" t="str">
        <f>IF(N20=Data!$BI$3,Data!$DR$3,IF(N20=Data!$BI$4,Data!$DS$3,IF(N20=Data!$BI$5,Data!$DT$3,IF(N20=Data!$BI$6,Data!$DU$3,IF(N20=Data!$BI$7,Data!$DV$3, IF(N20=Data!$BI$8,Data!$DX$3, IF(N20=Data!$BI$9,Data!$DW$3, "")))))))</f>
        <v/>
      </c>
      <c r="BW20" s="174" t="str">
        <f>IF(N20=Data!$BI$3,Data!$DY$3,IF(N20=Data!$BI$4,Data!$DZ$3,IF(N20=Data!$BI$5,Data!$EA$3,IF(N20=Data!$BI$6,Data!$EB$3,IF(N20=Data!$BI$7,Data!$EC$3,IF(N20=Data!$BI$8,Data!$EE$3, IF(N20=Data!$BI$9,Data!$ED$3,"")))))))</f>
        <v/>
      </c>
      <c r="BX20" s="162">
        <f t="shared" si="20"/>
        <v>0</v>
      </c>
      <c r="BY20" s="162">
        <f t="shared" si="21"/>
        <v>0</v>
      </c>
      <c r="BZ20" s="174" t="e">
        <f t="shared" si="22"/>
        <v>#DIV/0!</v>
      </c>
      <c r="CA20" s="351" t="b">
        <f>IF(G20=Data!$EU$2,Data!$ES$2,IF(G20=Data!$EU$3,Data!$ER$2, IF(G20=Data!$EU$5,Data!$ET$2, IF(G20=Data!$EU$4,Data!$EQ$2,IF(G20=Data!$EU$6,Data!$ER$2)))))</f>
        <v>0</v>
      </c>
      <c r="CB20" s="351" t="b">
        <f>IF(G20=Data!$EU$2,Data!$EW$2,IF(G20=Data!$EU$3,Data!$EX$2,IF(G20=Data!$EU$4,Data!$EY$2, IF(G20=Data!$EU$5,Data!$EY$2,IF(G20=Data!$EU$6,Data!$EX$2)))))</f>
        <v>0</v>
      </c>
      <c r="CC20" s="174" t="e">
        <f>VLOOKUP(M20,Data!$EJ$3:$EK$15,2,FALSE)</f>
        <v>#N/A</v>
      </c>
      <c r="CD20" s="174" t="str">
        <f>IF(J20="114mm",VLOOKUP(H20,Data!$FA$2:$FB$18,2,FALSE),"OK")</f>
        <v>OK</v>
      </c>
      <c r="CE20" s="174" t="e">
        <f t="shared" si="23"/>
        <v>#DIV/0!</v>
      </c>
      <c r="CF20" s="174" t="str">
        <f>IF(OR(AND(S20="",Q20&lt;&gt;"")),VLOOKUP(Q20,Data!$FC$2:$FD$19,2,FALSE),"")</f>
        <v/>
      </c>
      <c r="CG20" s="174" t="str">
        <f>IF(N20=Data!$BI$3,Data!$FJ$1,IF(N20=Data!$BI$4,Data!$FK$1,IF(N20=Data!$BI$5,Data!$FL$1,IF(N20=Data!$BI$6,Data!$FM$1,IF(N20=Data!$BI$7,Data!$FN$1, IF(N20=Data!$BI$8,Data!$FO$1, IF(N20=Data!$BI$9,Data!$FI$1, "")))))))</f>
        <v/>
      </c>
      <c r="CH20" s="174" t="str">
        <f>IF(SUM(--ISNUMBER(SEARCH({"z","Z"}, Q20))),"Yes","No")</f>
        <v>No</v>
      </c>
      <c r="CI20" s="174" t="str">
        <f t="shared" si="24"/>
        <v>OK</v>
      </c>
      <c r="CJ20" s="174">
        <f t="shared" si="25"/>
        <v>0</v>
      </c>
      <c r="CK20" s="174" t="e">
        <f>VLOOKUP(P20,Data!$DO$4:$DP$157,2,FALSE)</f>
        <v>#N/A</v>
      </c>
      <c r="CL20" s="174" t="e">
        <f t="shared" si="26"/>
        <v>#N/A</v>
      </c>
      <c r="CM20" s="162"/>
      <c r="CN20" s="162"/>
      <c r="CO20" s="162"/>
      <c r="CP20" s="366" t="str">
        <f t="shared" si="27"/>
        <v>OK</v>
      </c>
      <c r="CQ20" s="174" t="b">
        <f t="shared" si="28"/>
        <v>0</v>
      </c>
      <c r="CR20" s="174">
        <f t="shared" si="29"/>
        <v>0</v>
      </c>
      <c r="CS20" s="174">
        <f t="shared" si="30"/>
        <v>1</v>
      </c>
      <c r="CT20" s="174">
        <f>CQ20*CR20*CS20</f>
        <v>0</v>
      </c>
      <c r="CU20" s="162" t="e">
        <f t="shared" si="31"/>
        <v>#DIV/0!</v>
      </c>
      <c r="CV20" s="162" t="e">
        <f>VLOOKUP(H20,Data!$BD$81:$BE$111,2,FALSE)</f>
        <v>#N/A</v>
      </c>
      <c r="CW20" s="174" t="str">
        <f t="shared" si="32"/>
        <v/>
      </c>
      <c r="CX20" s="292" t="str">
        <f>IF(H20=Data!$BE$3,Data!$HQ$2, IF(H20=Data!$BE$4,Data!$HP$2, IF(H20=Data!$BE$5,Data!$HR$2, IF(H20=Data!$BE$6,Data!$HO$2))))</f>
        <v>Super WhiteNA</v>
      </c>
      <c r="CY20" s="351" t="b">
        <f>IF(H20=Data!$BH$3,Data!$HU$2, IF(H20=Data!$BH$4,Data!$HT$2, IF(H20=Data!$BH$5,Data!$HS$2)))</f>
        <v>0</v>
      </c>
      <c r="CZ20" s="351" t="b">
        <f>IF(H20=Data!$BF$3,Data!$HQ$16, IF(H20=Data!$BF$4,Data!$HP$16, IF(H20=Data!$BF$5,Data!$HR$16, IF(H20=Data!$BF$6,Data!$HO$16))))</f>
        <v>0</v>
      </c>
      <c r="DA20" s="351" t="b">
        <f>IF(G20=Data!$BC$3,'Shutters Page 2'!CW20,IF(G20=Data!$BC$4,'Shutters Page 2'!CX20,IF(G20=Data!$BC$6,'Shutters Page 2'!CY20, IF(G20=Data!$BC$5, 'Shutters Page 2'!CX20,IF(G20=Data!$BC$7,'Shutters Page 2'!CX20)))))</f>
        <v>0</v>
      </c>
      <c r="DB20" s="162" t="e">
        <f>IF(OR(AND(L20&gt;0,#REF!="")), "Error","OK")</f>
        <v>#REF!</v>
      </c>
      <c r="DC20" s="174" t="e">
        <f>IF(COUNTIF(#REF!,Data!$CX$6),"Yes","")</f>
        <v>#REF!</v>
      </c>
      <c r="DD20" s="55" t="str">
        <f t="shared" si="33"/>
        <v/>
      </c>
      <c r="DG20" s="55" t="str">
        <f>IF(N20=Data!$BI$5,"Yes",IF(N20=Data!$BI$6,"Yes","No"))</f>
        <v>No</v>
      </c>
      <c r="DH20" s="66" t="b">
        <f>IF(N20=Data!$BI$3,Data!$JB$2,IF(N20=Data!$BI$4,Data!$JC$2,IF(N20=Data!$BI$5,Data!$JD$2,IF(N20=Data!$BI$6,DI20,IF(N20=Data!$BI$7,Data!$JF$2, IF(N20=Data!$BI$8,Data!$JA$2, IF(N20=Data!$BI$9,Data!$JG$2)))))))</f>
        <v>0</v>
      </c>
      <c r="DI20" s="55" t="e">
        <f>VLOOKUP(P20,Data!$AAY$2:$ABA$44,3,FALSE)</f>
        <v>#N/A</v>
      </c>
      <c r="DK20" s="66" t="e">
        <f>VLOOKUP(P20,Data!$DO$4:$DQ$157,3,FALSE)</f>
        <v>#N/A</v>
      </c>
      <c r="DL20" s="55" t="e">
        <f t="shared" si="34"/>
        <v>#N/A</v>
      </c>
      <c r="DM20" s="55" t="e">
        <f t="shared" si="57"/>
        <v>#N/A</v>
      </c>
      <c r="DN20" s="162" t="b">
        <f>IF(Q20=Data!$BK$3,Data!$JH$2,IF(Q20=Data!$BK$4,Data!$JI$2,IF(Q20=Data!$BK$5,Data!$JJ$2,IF(Q20=Data!$BK$6,Data!$JK$2,IF(Q20=Data!$BK$7,Data!$JL$2,IF(Q20=Data!$BK$8,Data!$JM$2,IF(Q20=Data!$BK$9,Data!$JN$2,IF(Q20=Data!$BK$10,Data!$JO$2,IF(Q20=Data!$BK$11,Data!$JP$2,IF(Q20=Data!$BK$12,Data!$JQ$2,IF(Q20=Data!$BK$13,Data!$JR$2,IF(Q20=Data!$BK$14,Data!$JS$2,IF(Q20=Data!$BK$15,Data!$JT$2,IF(Q20=Data!$BK$16,Data!$JU$2,IF(Q20=Data!$BK$17,Data!$JV$2,IF(Q20=Data!$BK$18,Data!$JW$2, IF(Q20=Data!$BK$19,Data!$JX$2, IF(Q20=Data!$BK$20,Data!$JY$2, IF(Q20=Data!$BK$21,Data!$JN$2, IF(Q20=Data!$BK$22,Data!$JN$2, IF(Q20=Data!$BK$23,Data!$JN$2, IF(Q20=Data!$BK$24,Data!$JL$19))))))))))))))))))))))</f>
        <v>0</v>
      </c>
      <c r="DO20" s="55" t="str">
        <f>Data!$JH$19</f>
        <v>LRFrameAir</v>
      </c>
      <c r="DP20" s="55" t="b">
        <f>IF(G20=Data!$JH$18,'Shutters Page 2'!DO20,'Shutters Page 2'!DN20)</f>
        <v>0</v>
      </c>
      <c r="DR20" s="174" t="str">
        <f t="shared" si="58"/>
        <v/>
      </c>
      <c r="DS20" s="174" t="e">
        <f t="shared" si="59"/>
        <v>#N/A</v>
      </c>
      <c r="DT20" s="174" t="str">
        <f t="shared" si="35"/>
        <v>OK</v>
      </c>
      <c r="DU20" s="174" t="str">
        <f t="shared" si="36"/>
        <v>OK</v>
      </c>
      <c r="DV20" s="174" t="str">
        <f t="shared" si="37"/>
        <v>OK</v>
      </c>
      <c r="DW20" s="174" t="str">
        <f t="shared" si="38"/>
        <v>OK</v>
      </c>
      <c r="DX20" s="66" t="b">
        <f>IF(N20=Data!$LW$2,Data!$LX$1,IF(N20=Data!$LW$3,Data!$LY$1,IF(N20=Data!$LW$4,Data!$LZ$1,IF(N20=Data!$LW$5,Data!$MA$1,IF(N20=Data!$LW$6,Data!$MB$1,IF(N20=Data!$LW$7,Data!$MC$1, IF(N20=Data!$LW$8,Data!$MX$1)))))))</f>
        <v>0</v>
      </c>
      <c r="DY20" s="66" t="b">
        <f>IF(N20=Data!$LW$2,Data!$LX$147,IF(N20=Data!$LW$7,Data!$MC$1))</f>
        <v>0</v>
      </c>
      <c r="DZ20" s="66" t="b">
        <f>IF(G20=Data!$BC$3,'Shutters Page 2'!DX20,IF(G20=Data!$BC$5,'Shutters Page 2'!DY20))</f>
        <v>0</v>
      </c>
      <c r="EA20" s="66" t="b">
        <f>IF(E20=Data!$MD$2,Data!$ME$2, IF(E20=Data!$MD$3,Data!$MF$2, IF(E20=Data!$MD$4,Data!$MG$2)))</f>
        <v>0</v>
      </c>
      <c r="EB20" s="162" t="str">
        <f>IF(E20="MS",Data!$AK$1,IF(G20=Data!$BC$5,Data!$EJ$40,IF(G20=Data!$BC$4,Data!$EJ$20,Data!$EJ$2)))</f>
        <v>Special_Window_Timber</v>
      </c>
      <c r="EC20" s="66" t="str">
        <f>IF(OR(AND(T20="",Q20&lt;&gt;"")),VLOOKUP(Q20,Data!$FC$2:$FD$18,2,FALSE),"")</f>
        <v/>
      </c>
      <c r="ED20" s="66" t="str">
        <f>IF(OR(AND(U20="",Q20&lt;&gt;"")),VLOOKUP(Q20,Data!$FC$2:$FD$18,2,FALSE),"")</f>
        <v/>
      </c>
      <c r="EE20" s="66" t="str">
        <f>IF(OR(AND(V20="",Q20&lt;&gt;"")),VLOOKUP(Q20,Data!$FC$2:$FD$18,2,FALSE),"")</f>
        <v/>
      </c>
      <c r="EF20" s="162" t="e">
        <f>VLOOKUP(N20,Data!$MK$2:$ML$8,2,FALSE)</f>
        <v>#N/A</v>
      </c>
      <c r="EG20" s="66" t="e">
        <f>VLOOKUP(P20,Data!$DO$4:$DO$158,1,FALSE)</f>
        <v>#N/A</v>
      </c>
      <c r="EH20" s="66" t="e">
        <f t="shared" si="39"/>
        <v>#N/A</v>
      </c>
      <c r="EI20" s="55" t="str">
        <f t="shared" si="40"/>
        <v/>
      </c>
      <c r="EJ20" s="162" t="str">
        <f t="shared" si="41"/>
        <v>OK</v>
      </c>
      <c r="EK20" s="405" t="str">
        <f>Data!$JI$19</f>
        <v>TopBottomFrameAir</v>
      </c>
      <c r="EL20" s="405" t="b">
        <f>IF(G20=Data!$JH$18,EK20,EM20)</f>
        <v>0</v>
      </c>
      <c r="EM20" s="174" t="b">
        <f>IF(Q20=Data!$NN$3,Data!$NO$2, IF(Q20=Data!$NN$4,Data!$NP$2, IF(Q20=Data!$NN$5,Data!$NQ$2, IF(Q20=Data!$NN$6,Data!$NR$2, IF(Q20=Data!$NN$7,Data!$NS$2, IF(Q20=Data!$NN$8,Data!$NT$2, IF(Q20=Data!$NN$9,Data!$NU$2, IF(Q20=Data!$NN$10,Data!$NV$2, IF(Q20=Data!$NN$11,Data!$NW$2, IF(Q20=Data!$NN$12,Data!$NX$2, IF(Q20=Data!$NN$13,Data!$NY$2, IF(Q20=Data!$NN$14,Data!$NZ$2, IF(Q20=Data!$NN$15,Data!$OA$2, IF(Q20=Data!$NN$16,Data!$OB$2, IF(Q20=Data!$NN$17,Data!$OC$2, IF(Q20=Data!$NN$18,Data!$OD$2, IF(Q20=Data!$NN$19,Data!$OE$2, IF(Q20=Data!$NN$20,Data!$OG$2, IF(Q20=Data!$NN$25,Data!$NT$2, IF(Q20=Data!$NN$26,Data!$NT$2, IF(Q20=Data!$NN$27,Data!$NT$2, IF(Q20=Data!$NN$28,Data!$OH$2))))))))))))))))))))))</f>
        <v>0</v>
      </c>
      <c r="EN20" s="174" t="b">
        <f>IF(O20=$EN$7,Data!$OD$15,'Shutters Page 2'!EO20)</f>
        <v>0</v>
      </c>
      <c r="EO20" s="174" t="b">
        <f>IF(Q20=Data!$NN$3,Data!$NO$15,IF(Q20=Data!$NN$4,Data!$NP$15,IF(Q20=Data!$NN$5,Data!$NQ$15,IF(Q20=Data!$NN$6,Data!$NR$15,IF(Q20=Data!$NN$7,Data!$NS$15,IF(Q20=Data!$NN$8,Data!$NT$15,IF(Q20=Data!$NN$9,Data!$NU$15,IF(Q20=Data!$NN$10,Data!$NV$15,IF(Q20=Data!$NN$11,Data!$NW$15,IF(Q20=Data!$NN$12,Data!$NX$15,IF(Q20=Data!$NN$13,Data!$NY$15,IF(Q20=Data!$NN$14,Data!$NZ$15,IF(N20=Data!$NN$22,Data!$OA$15,IF(N20=Data!$NN$23,Data!$OB$15,IF(Q20=Data!$NN$19,Data!$OC$15, IF(Q20=Data!$NN$20,Data!$OG$15,IF(Q20=Data!$NN$25,Data!$NT$15,IF(Q20=Data!$NN$26,Data!$NT$15,IF(Q20=Data!$NN$27,Data!$NT$15,IF(Q20=Data!$NN$28,Data!$OH$15))))))))))))))))))))</f>
        <v>0</v>
      </c>
      <c r="EP20" s="406" t="str">
        <f>Data!$JI$19</f>
        <v>TopBottomFrameAir</v>
      </c>
      <c r="EQ20" s="406" t="b">
        <f>IF(G20=Data!$JH$18,EP20,EN20)</f>
        <v>0</v>
      </c>
      <c r="ER20" s="351" t="e">
        <f>MATCH(G20,Data!$CW$10:$CW$14,0)</f>
        <v>#N/A</v>
      </c>
      <c r="ES20" s="174" t="e">
        <f>MATCH(J20,Data!$CX$9:$DA$9,0)</f>
        <v>#N/A</v>
      </c>
      <c r="ET20" s="355" t="e">
        <f>INDEX(Data!$CX$10:$DA$14,'Shutters Page 2'!ER20,'Shutters Page 2'!ES20)</f>
        <v>#N/A</v>
      </c>
      <c r="EU20" s="355" t="e">
        <f>VLOOKUP(H20,Data!$BD$81:$BE$115,2,FALSE)</f>
        <v>#N/A</v>
      </c>
      <c r="EV20" s="355" t="e">
        <f>IF(EU20=Data!$BB$80,Data!$CW$20,'Shutters Page 2'!ET20)</f>
        <v>#N/A</v>
      </c>
      <c r="EW20" s="174" t="str">
        <f>IF(SUM(--ISNUMBER(SEARCH({"combo","Combo","COMBO"}, B37))),"Yes","No")</f>
        <v>No</v>
      </c>
      <c r="EX20" s="174" t="str">
        <f>IF(SUM(--ISNUMBER(SEARCH({"combo","Combo","COMBO"}, F37))),"Yes","No")</f>
        <v>No</v>
      </c>
      <c r="EY20" s="174" t="str">
        <f t="shared" si="60"/>
        <v>No</v>
      </c>
      <c r="EZ20" s="162">
        <f t="shared" si="42"/>
        <v>1</v>
      </c>
      <c r="FA20" s="162" t="e">
        <f t="shared" si="43"/>
        <v>#DIV/0!</v>
      </c>
      <c r="FB20" s="174" t="str">
        <f t="shared" si="44"/>
        <v/>
      </c>
      <c r="FC20" s="351" t="str">
        <f t="shared" si="45"/>
        <v/>
      </c>
      <c r="FD20" s="351" t="str">
        <f t="shared" si="46"/>
        <v/>
      </c>
      <c r="FE20" s="174" t="str">
        <f t="shared" si="47"/>
        <v/>
      </c>
      <c r="FF20" s="174" t="str">
        <f t="shared" si="48"/>
        <v/>
      </c>
      <c r="FG20" s="174" t="str">
        <f t="shared" si="49"/>
        <v/>
      </c>
      <c r="FH20" s="278" t="str">
        <f t="shared" si="61"/>
        <v>No</v>
      </c>
      <c r="FI20" s="351" t="e">
        <f>MATCH(G20,Data!$FH$18:$FL$18,0)</f>
        <v>#N/A</v>
      </c>
      <c r="FJ20" s="174" t="e">
        <f>MATCH(N20,Data!$FG$19:$FG$25,0)</f>
        <v>#N/A</v>
      </c>
      <c r="FK20" s="351" t="e">
        <f>INDEX(Data!$FH$19:$FL$25,'Shutters Page 2'!FJ20,'Shutters Page 2'!FI20)</f>
        <v>#N/A</v>
      </c>
      <c r="FL20" s="411" t="e">
        <f>MATCH(G20,Data!$FH$53:$FI$53,0)</f>
        <v>#N/A</v>
      </c>
      <c r="FM20" s="411" t="e">
        <f>MATCH(N20,Data!$FG$54:$FG$60,0)</f>
        <v>#N/A</v>
      </c>
      <c r="FN20" s="411" t="e">
        <f>INDEX(Data!$FH$54:$FI$60,'Shutters Page 2'!FM20,'Shutters Page 2'!FL20)</f>
        <v>#N/A</v>
      </c>
      <c r="FO20" s="411" t="e">
        <f>IF(E20=Data!$FH$35,'Shutters Page 2'!FN20,'Shutters Page 2'!FK20)</f>
        <v>#N/A</v>
      </c>
      <c r="FP20" s="351" t="e">
        <f>MATCH(G20,Data!$ME$26:$MG$26,0)</f>
        <v>#N/A</v>
      </c>
      <c r="FQ20" s="174" t="e">
        <f>MATCH(E20,Data!$MD$27:$MD$29,0)</f>
        <v>#N/A</v>
      </c>
      <c r="FR20" s="351" t="e">
        <f>INDEX(Data!$ME$27:$MG$29, 'Shutters Page 2'!FQ20, 'Shutters Page 2'!FP20)</f>
        <v>#N/A</v>
      </c>
      <c r="FS20" s="351" t="e">
        <f>MATCH(G20,Data!$AAF$1:$AAH$1,0)</f>
        <v>#N/A</v>
      </c>
      <c r="FT20" s="174" t="e">
        <f>MATCH(N20,Data!$AAE$2:$AAE$8,0)</f>
        <v>#N/A</v>
      </c>
      <c r="FU20" s="351" t="e">
        <f>INDEX(Data!$AAF$2:$AAH$8, 'Shutters Page 2'!FT20, 'Shutters Page 2'!FS20)</f>
        <v>#N/A</v>
      </c>
      <c r="FV20" s="351" t="e">
        <f>MATCH(G20,Data!$AAF$12:$AAH$12,0)</f>
        <v>#N/A</v>
      </c>
      <c r="FW20" s="174" t="e">
        <f>MATCH(N20,Data!$AAE$13:$AAE$19,0)</f>
        <v>#N/A</v>
      </c>
      <c r="FX20" s="351" t="e">
        <f>INDEX(Data!$AAF$13:$AAH$19, 'Shutters Page 2'!FW20, 'Shutters Page 2'!FV20)</f>
        <v>#N/A</v>
      </c>
      <c r="FY20" s="351" t="e">
        <f>MATCH(G20,Data!$AAK$1:$AAM$1,0)</f>
        <v>#N/A</v>
      </c>
      <c r="FZ20" s="174" t="e">
        <f>MATCH(Q20,Data!$AAJ$2,0)</f>
        <v>#N/A</v>
      </c>
      <c r="GA20" s="351" t="e">
        <f>INDEX(Data!$AAK$2:$AAM$2, 'Shutters Page 2'!FZ20, 'Shutters Page 2'!FY20)</f>
        <v>#N/A</v>
      </c>
      <c r="GB20" s="351" t="e">
        <f>MATCH(G20,Data!$AAK$12:$AAM$12,0)</f>
        <v>#N/A</v>
      </c>
      <c r="GC20" s="174" t="e">
        <f>MATCH(Q20,Data!$AAJ$13,0)</f>
        <v>#N/A</v>
      </c>
      <c r="GD20" s="351" t="e">
        <f>INDEX(Data!$AAK$13:$AAM$13, 'Shutters Page 2'!GC20, 'Shutters Page 2'!GB20)</f>
        <v>#N/A</v>
      </c>
      <c r="GE20" s="162" t="e">
        <f>VLOOKUP(H20,Data!$AAR$1:$AAS$35,2,FALSE)</f>
        <v>#N/A</v>
      </c>
      <c r="GF20" s="162" t="e">
        <f t="shared" si="50"/>
        <v>#N/A</v>
      </c>
      <c r="GG20" s="162" t="e">
        <f t="shared" si="51"/>
        <v>#N/A</v>
      </c>
      <c r="GH20" s="162" t="e">
        <f t="shared" si="52"/>
        <v>#N/A</v>
      </c>
      <c r="GI20" s="162" t="str">
        <f>IF(G20=Data!$NC$1,Data!$ND$1,Data!$NE$1)</f>
        <v>FauxwoodStile</v>
      </c>
      <c r="GL20" s="55" t="e">
        <f>VLOOKUP('Shutters Page 2'!H20,Data!$BD$81:$BE$115,2,FALSE)</f>
        <v>#N/A</v>
      </c>
      <c r="GM20" s="55" t="e">
        <f>IF(GL20=Data!$BB$80,"Yes", "No")</f>
        <v>#N/A</v>
      </c>
      <c r="GN20" s="55" t="e">
        <f>IF(GM20="Yes",Data!$EJ$57,'Shutters Page 2'!EB20)</f>
        <v>#N/A</v>
      </c>
      <c r="GQ20" s="55" t="b">
        <f>IF(G20=$GQ$6,Data!$EN$47,IF(G20='Shutters Page 2'!$GQ$7,Data!$EM$47))</f>
        <v>0</v>
      </c>
    </row>
    <row r="21" spans="1:199" ht="36.75" customHeight="1">
      <c r="A21" s="53">
        <v>13</v>
      </c>
      <c r="B21" s="17"/>
      <c r="C21" s="14"/>
      <c r="D21" s="14"/>
      <c r="E21" s="14"/>
      <c r="F21" s="10"/>
      <c r="G21" s="13"/>
      <c r="H21" s="555"/>
      <c r="I21" s="603"/>
      <c r="J21" s="14"/>
      <c r="K21" s="149" t="str">
        <f t="shared" si="0"/>
        <v/>
      </c>
      <c r="L21" s="15"/>
      <c r="M21" s="15"/>
      <c r="N21" s="15"/>
      <c r="O21" s="15"/>
      <c r="P21" s="15"/>
      <c r="Q21" s="486"/>
      <c r="R21" s="486"/>
      <c r="S21" s="13"/>
      <c r="T21" s="13"/>
      <c r="U21" s="13"/>
      <c r="V21" s="13"/>
      <c r="W21" s="15"/>
      <c r="X21" s="15"/>
      <c r="Y21" s="16"/>
      <c r="Z21" s="16"/>
      <c r="AA21" s="14"/>
      <c r="AB21" s="14"/>
      <c r="AC21" s="14"/>
      <c r="AD21" s="386"/>
      <c r="AE21" s="169" t="str">
        <f t="shared" si="1"/>
        <v/>
      </c>
      <c r="AF21" s="236"/>
      <c r="AG21" s="237"/>
      <c r="AI21" s="55">
        <f t="shared" si="2"/>
        <v>0</v>
      </c>
      <c r="AJ21" s="55">
        <f t="shared" si="3"/>
        <v>0</v>
      </c>
      <c r="AK21" s="55">
        <f>IF(P21&lt;&gt;"",VLOOKUP(P21,Data!$AAY$2:$AAZ$44,2,FALSE),0)</f>
        <v>0</v>
      </c>
      <c r="AL21" s="55" t="str">
        <f>IF(E21=Data!$BB$10,Data!$BC$10,Data!$BC$2)</f>
        <v>ShutterMaterial</v>
      </c>
      <c r="AP21" s="55" t="str">
        <f t="shared" si="53"/>
        <v>SlidingSystemNA</v>
      </c>
      <c r="AV21" s="114" t="str">
        <f t="shared" si="4"/>
        <v/>
      </c>
      <c r="AW21" s="66" t="e">
        <f t="shared" si="5"/>
        <v>#N/A</v>
      </c>
      <c r="AX21" s="174" t="e">
        <f>VLOOKUP(Q21,Data!$MI$2:$MJ$4,2,FALSE)</f>
        <v>#N/A</v>
      </c>
      <c r="AY21" s="174" t="e">
        <f t="shared" si="6"/>
        <v>#N/A</v>
      </c>
      <c r="AZ21" s="174" t="e">
        <f>VLOOKUP(N21,Data!$BI$24:$BJ$30,2,FALSE)</f>
        <v>#N/A</v>
      </c>
      <c r="BA21" s="160" t="b">
        <f>IF(G21=Data!$BO$2,Data!$BS$2, IF('Shutters Page 2'!G21=Data!$BP$2,Data!$BT$2, IF('Shutters Page 2'!G21=Data!$BQ$2,Data!$BU$2)))</f>
        <v>0</v>
      </c>
      <c r="BB21" s="361" t="str">
        <f t="shared" si="7"/>
        <v>No</v>
      </c>
      <c r="BC21" s="160" t="e">
        <f t="shared" si="8"/>
        <v>#DIV/0!</v>
      </c>
      <c r="BD21" s="361" t="e">
        <f t="shared" si="9"/>
        <v>#DIV/0!</v>
      </c>
      <c r="BE21" s="160" t="e">
        <f t="shared" si="10"/>
        <v>#DIV/0!</v>
      </c>
      <c r="BF21" s="361" t="str">
        <f t="shared" si="11"/>
        <v>No</v>
      </c>
      <c r="BG21" s="160" t="str">
        <f t="shared" si="12"/>
        <v>NotRequired</v>
      </c>
      <c r="BH21" s="160" t="b">
        <f>IF(G21=Data!$BO$2,Data!$CM$2, IF('Shutters Page 2'!G21=Data!$BP$2,Data!$CN$2, IF('Shutters Page 2'!G21=Data!$BQ$2,Data!$CO$2)))</f>
        <v>0</v>
      </c>
      <c r="BI21" s="160" t="e">
        <f t="shared" si="54"/>
        <v>#DIV/0!</v>
      </c>
      <c r="BJ21" s="161" t="str">
        <f t="shared" si="13"/>
        <v>NoHighlight</v>
      </c>
      <c r="BK21" s="361" t="str">
        <f t="shared" si="14"/>
        <v>FauxwoodRPNo</v>
      </c>
      <c r="BL21" s="161" t="str">
        <f>IF(SUM(--ISNUMBER( SEARCH({"t","T"},P21))),"Yes","No")</f>
        <v>No</v>
      </c>
      <c r="BM21" s="161" t="str">
        <f t="shared" si="15"/>
        <v>OK</v>
      </c>
      <c r="BN21" s="161" t="str">
        <f t="shared" si="16"/>
        <v>OK</v>
      </c>
      <c r="BO21" s="161" t="str">
        <f t="shared" si="17"/>
        <v>OK</v>
      </c>
      <c r="BP21" s="161" t="e">
        <f>IF(OR(AND(F21&gt;1,#REF!="L",#REF!="l"),AND(F21&gt;1,#REF!="R",#REF!="r"),AND(F21&gt;2,#REF!="LR",#REF!="lr")), "Error","OK")</f>
        <v>#REF!</v>
      </c>
      <c r="BQ21" s="161" t="str">
        <f t="shared" si="18"/>
        <v>FauxwoodAINo</v>
      </c>
      <c r="BR21" s="161" t="str">
        <f>IF(SUM(--ISNUMBER(SEARCH({"combo","Combo","COMBO"}, B38))),"Yes","No")</f>
        <v>No</v>
      </c>
      <c r="BS21" s="161" t="str">
        <f t="shared" si="55"/>
        <v>No</v>
      </c>
      <c r="BT21" s="161" t="str">
        <f>IF(SUM(--ISNUMBER( SEARCH({"c","C","b","B"},#REF!))),"Yes","No")</f>
        <v>No</v>
      </c>
      <c r="BU21" s="162">
        <f t="shared" si="19"/>
        <v>0</v>
      </c>
      <c r="BV21" s="174" t="str">
        <f>IF(N21=Data!$BI$3,Data!$DR$3,IF(N21=Data!$BI$4,Data!$DS$3,IF(N21=Data!$BI$5,Data!$DT$3,IF(N21=Data!$BI$6,Data!$DU$3,IF(N21=Data!$BI$7,Data!$DV$3, IF(N21=Data!$BI$8,Data!$DX$3, IF(N21=Data!$BI$9,Data!$DW$3, "")))))))</f>
        <v/>
      </c>
      <c r="BW21" s="174" t="str">
        <f>IF(N21=Data!$BI$3,Data!$DY$3,IF(N21=Data!$BI$4,Data!$DZ$3,IF(N21=Data!$BI$5,Data!$EA$3,IF(N21=Data!$BI$6,Data!$EB$3,IF(N21=Data!$BI$7,Data!$EC$3,IF(N21=Data!$BI$8,Data!$EE$3, IF(N21=Data!$BI$9,Data!$ED$3,"")))))))</f>
        <v/>
      </c>
      <c r="BX21" s="162">
        <f t="shared" si="20"/>
        <v>0</v>
      </c>
      <c r="BY21" s="162">
        <f t="shared" si="21"/>
        <v>0</v>
      </c>
      <c r="BZ21" s="174" t="e">
        <f t="shared" si="22"/>
        <v>#DIV/0!</v>
      </c>
      <c r="CA21" s="351" t="b">
        <f>IF(G21=Data!$EU$2,Data!$ES$2,IF(G21=Data!$EU$3,Data!$ER$2, IF(G21=Data!$EU$5,Data!$ET$2, IF(G21=Data!$EU$4,Data!$EQ$2,IF(G21=Data!$EU$6,Data!$ER$2)))))</f>
        <v>0</v>
      </c>
      <c r="CB21" s="351" t="b">
        <f>IF(G21=Data!$EU$2,Data!$EW$2,IF(G21=Data!$EU$3,Data!$EX$2,IF(G21=Data!$EU$4,Data!$EY$2, IF(G21=Data!$EU$5,Data!$EY$2,IF(G21=Data!$EU$6,Data!$EX$2)))))</f>
        <v>0</v>
      </c>
      <c r="CC21" s="174" t="e">
        <f>VLOOKUP(M21,Data!$EJ$3:$EK$15,2,FALSE)</f>
        <v>#N/A</v>
      </c>
      <c r="CD21" s="174" t="str">
        <f>IF(J21="114mm",VLOOKUP(H21,Data!$FA$2:$FB$18,2,FALSE),"OK")</f>
        <v>OK</v>
      </c>
      <c r="CE21" s="174" t="e">
        <f t="shared" si="23"/>
        <v>#DIV/0!</v>
      </c>
      <c r="CF21" s="174" t="str">
        <f>IF(OR(AND(S21="",Q21&lt;&gt;"")),VLOOKUP(Q21,Data!$FC$2:$FD$19,2,FALSE),"")</f>
        <v/>
      </c>
      <c r="CG21" s="174" t="str">
        <f>IF(N21=Data!$BI$3,Data!$FJ$1,IF(N21=Data!$BI$4,Data!$FK$1,IF(N21=Data!$BI$5,Data!$FL$1,IF(N21=Data!$BI$6,Data!$FM$1,IF(N21=Data!$BI$7,Data!$FN$1, IF(N21=Data!$BI$8,Data!$FO$1, IF(N21=Data!$BI$9,Data!$FI$1, "")))))))</f>
        <v/>
      </c>
      <c r="CH21" s="174" t="str">
        <f>IF(SUM(--ISNUMBER(SEARCH({"z","Z"}, Q21))),"Yes","No")</f>
        <v>No</v>
      </c>
      <c r="CI21" s="174" t="str">
        <f t="shared" si="24"/>
        <v>OK</v>
      </c>
      <c r="CJ21" s="174">
        <f t="shared" si="25"/>
        <v>0</v>
      </c>
      <c r="CK21" s="174" t="e">
        <f>VLOOKUP(P21,Data!$DO$4:$DP$157,2,FALSE)</f>
        <v>#N/A</v>
      </c>
      <c r="CL21" s="174" t="e">
        <f t="shared" si="26"/>
        <v>#N/A</v>
      </c>
      <c r="CM21" s="162"/>
      <c r="CN21" s="162"/>
      <c r="CO21" s="162"/>
      <c r="CP21" s="366" t="str">
        <f t="shared" si="27"/>
        <v>OK</v>
      </c>
      <c r="CQ21" s="174" t="b">
        <f t="shared" si="28"/>
        <v>0</v>
      </c>
      <c r="CR21" s="174">
        <f t="shared" si="29"/>
        <v>0</v>
      </c>
      <c r="CS21" s="174">
        <f t="shared" si="30"/>
        <v>1</v>
      </c>
      <c r="CT21" s="174">
        <f t="shared" ref="CT21:CT22" si="62">CQ21*CR21*CS21</f>
        <v>0</v>
      </c>
      <c r="CU21" s="162" t="e">
        <f t="shared" si="31"/>
        <v>#DIV/0!</v>
      </c>
      <c r="CV21" s="162" t="e">
        <f>VLOOKUP(H21,Data!$BD$81:$BE$111,2,FALSE)</f>
        <v>#N/A</v>
      </c>
      <c r="CW21" s="174" t="str">
        <f t="shared" si="32"/>
        <v/>
      </c>
      <c r="CX21" s="292" t="str">
        <f>IF(H21=Data!$BE$3,Data!$HQ$2, IF(H21=Data!$BE$4,Data!$HP$2, IF(H21=Data!$BE$5,Data!$HR$2, IF(H21=Data!$BE$6,Data!$HO$2))))</f>
        <v>Super WhiteNA</v>
      </c>
      <c r="CY21" s="351" t="b">
        <f>IF(H21=Data!$BH$3,Data!$HU$2, IF(H21=Data!$BH$4,Data!$HT$2, IF(H21=Data!$BH$5,Data!$HS$2)))</f>
        <v>0</v>
      </c>
      <c r="CZ21" s="351" t="b">
        <f>IF(H21=Data!$BF$3,Data!$HQ$16, IF(H21=Data!$BF$4,Data!$HP$16, IF(H21=Data!$BF$5,Data!$HR$16, IF(H21=Data!$BF$6,Data!$HO$16))))</f>
        <v>0</v>
      </c>
      <c r="DA21" s="351" t="b">
        <f>IF(G21=Data!$BC$3,'Shutters Page 2'!CW21,IF(G21=Data!$BC$4,'Shutters Page 2'!CX21,IF(G21=Data!$BC$6,'Shutters Page 2'!CY21, IF(G21=Data!$BC$5, 'Shutters Page 2'!CX21,IF(G21=Data!$BC$7,'Shutters Page 2'!CX21)))))</f>
        <v>0</v>
      </c>
      <c r="DB21" s="162" t="e">
        <f>IF(OR(AND(L21&gt;0,#REF!="")), "Error","OK")</f>
        <v>#REF!</v>
      </c>
      <c r="DC21" s="174" t="e">
        <f>IF(COUNTIF(#REF!,Data!$CX$6),"Yes","")</f>
        <v>#REF!</v>
      </c>
      <c r="DD21" s="55" t="str">
        <f t="shared" si="33"/>
        <v/>
      </c>
      <c r="DG21" s="55" t="str">
        <f>IF(N21=Data!$BI$5,"Yes",IF(N21=Data!$BI$6,"Yes","No"))</f>
        <v>No</v>
      </c>
      <c r="DH21" s="66" t="b">
        <f>IF(N21=Data!$BI$3,Data!$JB$2,IF(N21=Data!$BI$4,Data!$JC$2,IF(N21=Data!$BI$5,Data!$JD$2,IF(N21=Data!$BI$6,DI21,IF(N21=Data!$BI$7,Data!$JF$2, IF(N21=Data!$BI$8,Data!$JA$2, IF(N21=Data!$BI$9,Data!$JG$2)))))))</f>
        <v>0</v>
      </c>
      <c r="DI21" s="55" t="e">
        <f>VLOOKUP(P21,Data!$AAY$2:$ABA$44,3,FALSE)</f>
        <v>#N/A</v>
      </c>
      <c r="DK21" s="66" t="e">
        <f>VLOOKUP(P21,Data!$DO$4:$DQ$157,3,FALSE)</f>
        <v>#N/A</v>
      </c>
      <c r="DL21" s="55" t="e">
        <f t="shared" si="34"/>
        <v>#N/A</v>
      </c>
      <c r="DM21" s="55" t="e">
        <f t="shared" si="57"/>
        <v>#N/A</v>
      </c>
      <c r="DN21" s="162" t="b">
        <f>IF(Q21=Data!$BK$3,Data!$JH$2,IF(Q21=Data!$BK$4,Data!$JI$2,IF(Q21=Data!$BK$5,Data!$JJ$2,IF(Q21=Data!$BK$6,Data!$JK$2,IF(Q21=Data!$BK$7,Data!$JL$2,IF(Q21=Data!$BK$8,Data!$JM$2,IF(Q21=Data!$BK$9,Data!$JN$2,IF(Q21=Data!$BK$10,Data!$JO$2,IF(Q21=Data!$BK$11,Data!$JP$2,IF(Q21=Data!$BK$12,Data!$JQ$2,IF(Q21=Data!$BK$13,Data!$JR$2,IF(Q21=Data!$BK$14,Data!$JS$2,IF(Q21=Data!$BK$15,Data!$JT$2,IF(Q21=Data!$BK$16,Data!$JU$2,IF(Q21=Data!$BK$17,Data!$JV$2,IF(Q21=Data!$BK$18,Data!$JW$2, IF(Q21=Data!$BK$19,Data!$JX$2, IF(Q21=Data!$BK$20,Data!$JY$2, IF(Q21=Data!$BK$21,Data!$JN$2, IF(Q21=Data!$BK$22,Data!$JN$2, IF(Q21=Data!$BK$23,Data!$JN$2, IF(Q21=Data!$BK$24,Data!$JL$19))))))))))))))))))))))</f>
        <v>0</v>
      </c>
      <c r="DO21" s="55" t="str">
        <f>Data!$JH$19</f>
        <v>LRFrameAir</v>
      </c>
      <c r="DP21" s="55" t="b">
        <f>IF(G21=Data!$JH$18,'Shutters Page 2'!DO21,'Shutters Page 2'!DN21)</f>
        <v>0</v>
      </c>
      <c r="DR21" s="174" t="str">
        <f t="shared" si="58"/>
        <v/>
      </c>
      <c r="DS21" s="174" t="e">
        <f t="shared" si="59"/>
        <v>#N/A</v>
      </c>
      <c r="DT21" s="174" t="str">
        <f t="shared" si="35"/>
        <v>OK</v>
      </c>
      <c r="DU21" s="174" t="str">
        <f t="shared" si="36"/>
        <v>OK</v>
      </c>
      <c r="DV21" s="174" t="str">
        <f t="shared" si="37"/>
        <v>OK</v>
      </c>
      <c r="DW21" s="174" t="str">
        <f t="shared" si="38"/>
        <v>OK</v>
      </c>
      <c r="DX21" s="66" t="b">
        <f>IF(N21=Data!$LW$2,Data!$LX$1,IF(N21=Data!$LW$3,Data!$LY$1,IF(N21=Data!$LW$4,Data!$LZ$1,IF(N21=Data!$LW$5,Data!$MA$1,IF(N21=Data!$LW$6,Data!$MB$1,IF(N21=Data!$LW$7,Data!$MC$1, IF(N21=Data!$LW$8,Data!$MX$1)))))))</f>
        <v>0</v>
      </c>
      <c r="DY21" s="66" t="b">
        <f>IF(N21=Data!$LW$2,Data!$LX$147,IF(N21=Data!$LW$7,Data!$MC$1))</f>
        <v>0</v>
      </c>
      <c r="DZ21" s="66" t="b">
        <f>IF(G21=Data!$BC$3,'Shutters Page 2'!DX21,IF(G21=Data!$BC$5,'Shutters Page 2'!DY21))</f>
        <v>0</v>
      </c>
      <c r="EA21" s="66" t="b">
        <f>IF(E21=Data!$MD$2,Data!$ME$2, IF(E21=Data!$MD$3,Data!$MF$2, IF(E21=Data!$MD$4,Data!$MG$2)))</f>
        <v>0</v>
      </c>
      <c r="EB21" s="162" t="str">
        <f>IF(E21="MS",Data!$AK$1,IF(G21=Data!$BC$5,Data!$EJ$40,IF(G21=Data!$BC$4,Data!$EJ$20,Data!$EJ$2)))</f>
        <v>Special_Window_Timber</v>
      </c>
      <c r="EC21" s="66" t="str">
        <f>IF(OR(AND(T21="",Q21&lt;&gt;"")),VLOOKUP(Q21,Data!$FC$2:$FD$18,2,FALSE),"")</f>
        <v/>
      </c>
      <c r="ED21" s="66" t="str">
        <f>IF(OR(AND(U21="",Q21&lt;&gt;"")),VLOOKUP(Q21,Data!$FC$2:$FD$18,2,FALSE),"")</f>
        <v/>
      </c>
      <c r="EE21" s="66" t="str">
        <f>IF(OR(AND(V21="",Q21&lt;&gt;"")),VLOOKUP(Q21,Data!$FC$2:$FD$18,2,FALSE),"")</f>
        <v/>
      </c>
      <c r="EF21" s="162" t="e">
        <f>VLOOKUP(N21,Data!$MK$2:$ML$8,2,FALSE)</f>
        <v>#N/A</v>
      </c>
      <c r="EG21" s="66" t="e">
        <f>VLOOKUP(P21,Data!$DO$4:$DO$158,1,FALSE)</f>
        <v>#N/A</v>
      </c>
      <c r="EH21" s="66" t="e">
        <f t="shared" si="39"/>
        <v>#N/A</v>
      </c>
      <c r="EI21" s="55" t="str">
        <f t="shared" si="40"/>
        <v/>
      </c>
      <c r="EJ21" s="162" t="str">
        <f t="shared" si="41"/>
        <v>OK</v>
      </c>
      <c r="EK21" s="405" t="str">
        <f>Data!$JI$19</f>
        <v>TopBottomFrameAir</v>
      </c>
      <c r="EL21" s="405" t="b">
        <f>IF(G21=Data!$JH$18,EK21,EM21)</f>
        <v>0</v>
      </c>
      <c r="EM21" s="174" t="b">
        <f>IF(Q21=Data!$NN$3,Data!$NO$2, IF(Q21=Data!$NN$4,Data!$NP$2, IF(Q21=Data!$NN$5,Data!$NQ$2, IF(Q21=Data!$NN$6,Data!$NR$2, IF(Q21=Data!$NN$7,Data!$NS$2, IF(Q21=Data!$NN$8,Data!$NT$2, IF(Q21=Data!$NN$9,Data!$NU$2, IF(Q21=Data!$NN$10,Data!$NV$2, IF(Q21=Data!$NN$11,Data!$NW$2, IF(Q21=Data!$NN$12,Data!$NX$2, IF(Q21=Data!$NN$13,Data!$NY$2, IF(Q21=Data!$NN$14,Data!$NZ$2, IF(Q21=Data!$NN$15,Data!$OA$2, IF(Q21=Data!$NN$16,Data!$OB$2, IF(Q21=Data!$NN$17,Data!$OC$2, IF(Q21=Data!$NN$18,Data!$OD$2, IF(Q21=Data!$NN$19,Data!$OE$2, IF(Q21=Data!$NN$20,Data!$OG$2, IF(Q21=Data!$NN$25,Data!$NT$2, IF(Q21=Data!$NN$26,Data!$NT$2, IF(Q21=Data!$NN$27,Data!$NT$2, IF(Q21=Data!$NN$28,Data!$OH$2))))))))))))))))))))))</f>
        <v>0</v>
      </c>
      <c r="EN21" s="174" t="b">
        <f>IF(O21=$EN$7,Data!$OD$15,'Shutters Page 2'!EO21)</f>
        <v>0</v>
      </c>
      <c r="EO21" s="174" t="b">
        <f>IF(Q21=Data!$NN$3,Data!$NO$15,IF(Q21=Data!$NN$4,Data!$NP$15,IF(Q21=Data!$NN$5,Data!$NQ$15,IF(Q21=Data!$NN$6,Data!$NR$15,IF(Q21=Data!$NN$7,Data!$NS$15,IF(Q21=Data!$NN$8,Data!$NT$15,IF(Q21=Data!$NN$9,Data!$NU$15,IF(Q21=Data!$NN$10,Data!$NV$15,IF(Q21=Data!$NN$11,Data!$NW$15,IF(Q21=Data!$NN$12,Data!$NX$15,IF(Q21=Data!$NN$13,Data!$NY$15,IF(Q21=Data!$NN$14,Data!$NZ$15,IF(N21=Data!$NN$22,Data!$OA$15,IF(N21=Data!$NN$23,Data!$OB$15,IF(Q21=Data!$NN$19,Data!$OC$15, IF(Q21=Data!$NN$20,Data!$OG$15,IF(Q21=Data!$NN$25,Data!$NT$15,IF(Q21=Data!$NN$26,Data!$NT$15,IF(Q21=Data!$NN$27,Data!$NT$15,IF(Q21=Data!$NN$28,Data!$OH$15))))))))))))))))))))</f>
        <v>0</v>
      </c>
      <c r="EP21" s="406" t="str">
        <f>Data!$JI$19</f>
        <v>TopBottomFrameAir</v>
      </c>
      <c r="EQ21" s="406" t="b">
        <f>IF(G21=Data!$JH$18,EP21,EN21)</f>
        <v>0</v>
      </c>
      <c r="ER21" s="351" t="e">
        <f>MATCH(G21,Data!$CW$10:$CW$14,0)</f>
        <v>#N/A</v>
      </c>
      <c r="ES21" s="174" t="e">
        <f>MATCH(J21,Data!$CX$9:$DA$9,0)</f>
        <v>#N/A</v>
      </c>
      <c r="ET21" s="355" t="e">
        <f>INDEX(Data!$CX$10:$DA$14,'Shutters Page 2'!ER21,'Shutters Page 2'!ES21)</f>
        <v>#N/A</v>
      </c>
      <c r="EU21" s="355" t="e">
        <f>VLOOKUP(H21,Data!$BD$81:$BE$115,2,FALSE)</f>
        <v>#N/A</v>
      </c>
      <c r="EV21" s="355" t="e">
        <f>IF(EU21=Data!$BB$80,Data!$CW$20,'Shutters Page 2'!ET21)</f>
        <v>#N/A</v>
      </c>
      <c r="EW21" s="174" t="str">
        <f>IF(SUM(--ISNUMBER(SEARCH({"combo","Combo","COMBO"}, B38))),"Yes","No")</f>
        <v>No</v>
      </c>
      <c r="EX21" s="174" t="str">
        <f>IF(SUM(--ISNUMBER(SEARCH({"combo","Combo","COMBO"}, F38))),"Yes","No")</f>
        <v>No</v>
      </c>
      <c r="EY21" s="174" t="str">
        <f t="shared" si="60"/>
        <v>No</v>
      </c>
      <c r="EZ21" s="162">
        <f t="shared" si="42"/>
        <v>1</v>
      </c>
      <c r="FA21" s="162" t="e">
        <f t="shared" si="43"/>
        <v>#DIV/0!</v>
      </c>
      <c r="FB21" s="174" t="str">
        <f t="shared" si="44"/>
        <v/>
      </c>
      <c r="FC21" s="351" t="str">
        <f t="shared" si="45"/>
        <v/>
      </c>
      <c r="FD21" s="351" t="str">
        <f t="shared" si="46"/>
        <v/>
      </c>
      <c r="FE21" s="174" t="str">
        <f t="shared" si="47"/>
        <v/>
      </c>
      <c r="FF21" s="174" t="str">
        <f t="shared" si="48"/>
        <v/>
      </c>
      <c r="FG21" s="174" t="str">
        <f t="shared" si="49"/>
        <v/>
      </c>
      <c r="FH21" s="278" t="str">
        <f t="shared" si="61"/>
        <v>No</v>
      </c>
      <c r="FI21" s="351" t="e">
        <f>MATCH(G21,Data!$FH$18:$FL$18,0)</f>
        <v>#N/A</v>
      </c>
      <c r="FJ21" s="174" t="e">
        <f>MATCH(N21,Data!$FG$19:$FG$25,0)</f>
        <v>#N/A</v>
      </c>
      <c r="FK21" s="351" t="e">
        <f>INDEX(Data!$FH$19:$FL$25,'Shutters Page 2'!FJ21,'Shutters Page 2'!FI21)</f>
        <v>#N/A</v>
      </c>
      <c r="FL21" s="411" t="e">
        <f>MATCH(G21,Data!$FH$53:$FI$53,0)</f>
        <v>#N/A</v>
      </c>
      <c r="FM21" s="411" t="e">
        <f>MATCH(N21,Data!$FG$54:$FG$60,0)</f>
        <v>#N/A</v>
      </c>
      <c r="FN21" s="411" t="e">
        <f>INDEX(Data!$FH$54:$FI$60,'Shutters Page 2'!FM21,'Shutters Page 2'!FL21)</f>
        <v>#N/A</v>
      </c>
      <c r="FO21" s="411" t="e">
        <f>IF(E21=Data!$FH$35,'Shutters Page 2'!FN21,'Shutters Page 2'!FK21)</f>
        <v>#N/A</v>
      </c>
      <c r="FP21" s="351" t="e">
        <f>MATCH(G21,Data!$ME$26:$MG$26,0)</f>
        <v>#N/A</v>
      </c>
      <c r="FQ21" s="174" t="e">
        <f>MATCH(E21,Data!$MD$27:$MD$29,0)</f>
        <v>#N/A</v>
      </c>
      <c r="FR21" s="351" t="e">
        <f>INDEX(Data!$ME$27:$MG$29, 'Shutters Page 2'!FQ21, 'Shutters Page 2'!FP21)</f>
        <v>#N/A</v>
      </c>
      <c r="FS21" s="351" t="e">
        <f>MATCH(G21,Data!$AAF$1:$AAH$1,0)</f>
        <v>#N/A</v>
      </c>
      <c r="FT21" s="174" t="e">
        <f>MATCH(N21,Data!$AAE$2:$AAE$8,0)</f>
        <v>#N/A</v>
      </c>
      <c r="FU21" s="351" t="e">
        <f>INDEX(Data!$AAF$2:$AAH$8, 'Shutters Page 2'!FT21, 'Shutters Page 2'!FS21)</f>
        <v>#N/A</v>
      </c>
      <c r="FV21" s="351" t="e">
        <f>MATCH(G21,Data!$AAF$12:$AAH$12,0)</f>
        <v>#N/A</v>
      </c>
      <c r="FW21" s="174" t="e">
        <f>MATCH(N21,Data!$AAE$13:$AAE$19,0)</f>
        <v>#N/A</v>
      </c>
      <c r="FX21" s="351" t="e">
        <f>INDEX(Data!$AAF$13:$AAH$19, 'Shutters Page 2'!FW21, 'Shutters Page 2'!FV21)</f>
        <v>#N/A</v>
      </c>
      <c r="FY21" s="351" t="e">
        <f>MATCH(G21,Data!$AAK$1:$AAM$1,0)</f>
        <v>#N/A</v>
      </c>
      <c r="FZ21" s="174" t="e">
        <f>MATCH(Q21,Data!$AAJ$2,0)</f>
        <v>#N/A</v>
      </c>
      <c r="GA21" s="351" t="e">
        <f>INDEX(Data!$AAK$2:$AAM$2, 'Shutters Page 2'!FZ21, 'Shutters Page 2'!FY21)</f>
        <v>#N/A</v>
      </c>
      <c r="GB21" s="351" t="e">
        <f>MATCH(G21,Data!$AAK$12:$AAM$12,0)</f>
        <v>#N/A</v>
      </c>
      <c r="GC21" s="174" t="e">
        <f>MATCH(Q21,Data!$AAJ$13,0)</f>
        <v>#N/A</v>
      </c>
      <c r="GD21" s="351" t="e">
        <f>INDEX(Data!$AAK$13:$AAM$13, 'Shutters Page 2'!GC21, 'Shutters Page 2'!GB21)</f>
        <v>#N/A</v>
      </c>
      <c r="GE21" s="162" t="e">
        <f>VLOOKUP(H21,Data!$AAR$1:$AAS$35,2,FALSE)</f>
        <v>#N/A</v>
      </c>
      <c r="GF21" s="162" t="e">
        <f t="shared" si="50"/>
        <v>#N/A</v>
      </c>
      <c r="GG21" s="162" t="e">
        <f t="shared" si="51"/>
        <v>#N/A</v>
      </c>
      <c r="GH21" s="162" t="e">
        <f t="shared" si="52"/>
        <v>#N/A</v>
      </c>
      <c r="GI21" s="162" t="str">
        <f>IF(G21=Data!$NC$1,Data!$ND$1,Data!$NE$1)</f>
        <v>FauxwoodStile</v>
      </c>
      <c r="GL21" s="55" t="e">
        <f>VLOOKUP('Shutters Page 2'!H21,Data!$BD$81:$BE$115,2,FALSE)</f>
        <v>#N/A</v>
      </c>
      <c r="GM21" s="55" t="e">
        <f>IF(GL21=Data!$BB$80,"Yes", "No")</f>
        <v>#N/A</v>
      </c>
      <c r="GN21" s="55" t="e">
        <f>IF(GM21="Yes",Data!$EJ$57,'Shutters Page 2'!EB21)</f>
        <v>#N/A</v>
      </c>
      <c r="GQ21" s="55" t="b">
        <f>IF(G21=$GQ$6,Data!$EN$47,IF(G21='Shutters Page 2'!$GQ$7,Data!$EM$47))</f>
        <v>0</v>
      </c>
    </row>
    <row r="22" spans="1:199" ht="36.75" customHeight="1">
      <c r="A22" s="53">
        <v>14</v>
      </c>
      <c r="B22" s="17"/>
      <c r="C22" s="14"/>
      <c r="D22" s="14"/>
      <c r="E22" s="14"/>
      <c r="F22" s="10"/>
      <c r="G22" s="13"/>
      <c r="H22" s="555"/>
      <c r="I22" s="603"/>
      <c r="J22" s="14"/>
      <c r="K22" s="149" t="str">
        <f t="shared" si="0"/>
        <v/>
      </c>
      <c r="L22" s="15"/>
      <c r="M22" s="15"/>
      <c r="N22" s="15"/>
      <c r="O22" s="15"/>
      <c r="P22" s="15"/>
      <c r="Q22" s="486"/>
      <c r="R22" s="486"/>
      <c r="S22" s="13"/>
      <c r="T22" s="13"/>
      <c r="U22" s="13"/>
      <c r="V22" s="13"/>
      <c r="W22" s="15"/>
      <c r="X22" s="15"/>
      <c r="Y22" s="16"/>
      <c r="Z22" s="16"/>
      <c r="AA22" s="14"/>
      <c r="AB22" s="14"/>
      <c r="AC22" s="14"/>
      <c r="AD22" s="386"/>
      <c r="AE22" s="169" t="str">
        <f t="shared" si="1"/>
        <v/>
      </c>
      <c r="AF22" s="236"/>
      <c r="AG22" s="237"/>
      <c r="AI22" s="55">
        <f t="shared" si="2"/>
        <v>0</v>
      </c>
      <c r="AJ22" s="55">
        <f t="shared" si="3"/>
        <v>0</v>
      </c>
      <c r="AK22" s="55">
        <f>IF(P22&lt;&gt;"",VLOOKUP(P22,Data!$AAY$2:$AAZ$44,2,FALSE),0)</f>
        <v>0</v>
      </c>
      <c r="AL22" s="55" t="str">
        <f>IF(E22=Data!$BB$10,Data!$BC$10,Data!$BC$2)</f>
        <v>ShutterMaterial</v>
      </c>
      <c r="AP22" s="55" t="str">
        <f t="shared" si="53"/>
        <v>SlidingSystemNA</v>
      </c>
      <c r="AV22" s="114" t="str">
        <f t="shared" si="4"/>
        <v/>
      </c>
      <c r="AW22" s="66" t="e">
        <f t="shared" si="5"/>
        <v>#N/A</v>
      </c>
      <c r="AX22" s="174" t="e">
        <f>VLOOKUP(Q22,Data!$MI$2:$MJ$4,2,FALSE)</f>
        <v>#N/A</v>
      </c>
      <c r="AY22" s="174" t="e">
        <f t="shared" si="6"/>
        <v>#N/A</v>
      </c>
      <c r="AZ22" s="174" t="e">
        <f>VLOOKUP(N22,Data!$BI$24:$BJ$30,2,FALSE)</f>
        <v>#N/A</v>
      </c>
      <c r="BA22" s="160" t="b">
        <f>IF(G22=Data!$BO$2,Data!$BS$2, IF('Shutters Page 2'!G22=Data!$BP$2,Data!$BT$2, IF('Shutters Page 2'!G22=Data!$BQ$2,Data!$BU$2)))</f>
        <v>0</v>
      </c>
      <c r="BB22" s="361" t="str">
        <f t="shared" si="7"/>
        <v>No</v>
      </c>
      <c r="BC22" s="160" t="e">
        <f t="shared" si="8"/>
        <v>#DIV/0!</v>
      </c>
      <c r="BD22" s="361" t="e">
        <f t="shared" si="9"/>
        <v>#DIV/0!</v>
      </c>
      <c r="BE22" s="160" t="e">
        <f t="shared" si="10"/>
        <v>#DIV/0!</v>
      </c>
      <c r="BF22" s="361" t="str">
        <f t="shared" si="11"/>
        <v>No</v>
      </c>
      <c r="BG22" s="160" t="str">
        <f t="shared" si="12"/>
        <v>NotRequired</v>
      </c>
      <c r="BH22" s="160" t="b">
        <f>IF(G22=Data!$BO$2,Data!$CM$2, IF('Shutters Page 2'!G22=Data!$BP$2,Data!$CN$2, IF('Shutters Page 2'!G22=Data!$BQ$2,Data!$CO$2)))</f>
        <v>0</v>
      </c>
      <c r="BI22" s="160" t="e">
        <f t="shared" si="54"/>
        <v>#DIV/0!</v>
      </c>
      <c r="BJ22" s="161" t="str">
        <f t="shared" si="13"/>
        <v>NoHighlight</v>
      </c>
      <c r="BK22" s="361" t="str">
        <f t="shared" si="14"/>
        <v>FauxwoodRPNo</v>
      </c>
      <c r="BL22" s="161" t="str">
        <f>IF(SUM(--ISNUMBER( SEARCH({"t","T"},P22))),"Yes","No")</f>
        <v>No</v>
      </c>
      <c r="BM22" s="161" t="str">
        <f t="shared" si="15"/>
        <v>OK</v>
      </c>
      <c r="BN22" s="161" t="str">
        <f t="shared" si="16"/>
        <v>OK</v>
      </c>
      <c r="BO22" s="161" t="str">
        <f t="shared" si="17"/>
        <v>OK</v>
      </c>
      <c r="BP22" s="161" t="e">
        <f>IF(OR(AND(F22&gt;1,#REF!="L",#REF!="l"),AND(F22&gt;1,#REF!="R",#REF!="r"),AND(F22&gt;2,#REF!="LR",#REF!="lr")), "Error","OK")</f>
        <v>#REF!</v>
      </c>
      <c r="BQ22" s="161" t="str">
        <f t="shared" si="18"/>
        <v>FauxwoodAINo</v>
      </c>
      <c r="BR22" s="161" t="str">
        <f>IF(SUM(--ISNUMBER(SEARCH({"combo","Combo","COMBO"}, B39))),"Yes","No")</f>
        <v>No</v>
      </c>
      <c r="BS22" s="161" t="str">
        <f t="shared" si="55"/>
        <v>No</v>
      </c>
      <c r="BT22" s="161" t="str">
        <f>IF(SUM(--ISNUMBER( SEARCH({"c","C","b","B"},#REF!))),"Yes","No")</f>
        <v>No</v>
      </c>
      <c r="BU22" s="162">
        <f t="shared" si="19"/>
        <v>0</v>
      </c>
      <c r="BV22" s="174" t="str">
        <f>IF(N22=Data!$BI$3,Data!$DR$3,IF(N22=Data!$BI$4,Data!$DS$3,IF(N22=Data!$BI$5,Data!$DT$3,IF(N22=Data!$BI$6,Data!$DU$3,IF(N22=Data!$BI$7,Data!$DV$3, IF(N22=Data!$BI$8,Data!$DX$3, IF(N22=Data!$BI$9,Data!$DW$3, "")))))))</f>
        <v/>
      </c>
      <c r="BW22" s="174" t="str">
        <f>IF(N22=Data!$BI$3,Data!$DY$3,IF(N22=Data!$BI$4,Data!$DZ$3,IF(N22=Data!$BI$5,Data!$EA$3,IF(N22=Data!$BI$6,Data!$EB$3,IF(N22=Data!$BI$7,Data!$EC$3,IF(N22=Data!$BI$8,Data!$EE$3, IF(N22=Data!$BI$9,Data!$ED$3,"")))))))</f>
        <v/>
      </c>
      <c r="BX22" s="162">
        <f t="shared" si="20"/>
        <v>0</v>
      </c>
      <c r="BY22" s="162">
        <f t="shared" si="21"/>
        <v>0</v>
      </c>
      <c r="BZ22" s="174" t="e">
        <f t="shared" si="22"/>
        <v>#DIV/0!</v>
      </c>
      <c r="CA22" s="351" t="b">
        <f>IF(G22=Data!$EU$2,Data!$ES$2,IF(G22=Data!$EU$3,Data!$ER$2, IF(G22=Data!$EU$5,Data!$ET$2, IF(G22=Data!$EU$4,Data!$EQ$2,IF(G22=Data!$EU$6,Data!$ER$2)))))</f>
        <v>0</v>
      </c>
      <c r="CB22" s="351" t="b">
        <f>IF(G22=Data!$EU$2,Data!$EW$2,IF(G22=Data!$EU$3,Data!$EX$2,IF(G22=Data!$EU$4,Data!$EY$2, IF(G22=Data!$EU$5,Data!$EY$2,IF(G22=Data!$EU$6,Data!$EX$2)))))</f>
        <v>0</v>
      </c>
      <c r="CC22" s="174" t="e">
        <f>VLOOKUP(M22,Data!$EJ$3:$EK$15,2,FALSE)</f>
        <v>#N/A</v>
      </c>
      <c r="CD22" s="174" t="str">
        <f>IF(J22="114mm",VLOOKUP(H22,Data!$FA$2:$FB$18,2,FALSE),"OK")</f>
        <v>OK</v>
      </c>
      <c r="CE22" s="174" t="e">
        <f t="shared" si="23"/>
        <v>#DIV/0!</v>
      </c>
      <c r="CF22" s="174" t="str">
        <f>IF(OR(AND(S22="",Q22&lt;&gt;"")),VLOOKUP(Q22,Data!$FC$2:$FD$19,2,FALSE),"")</f>
        <v/>
      </c>
      <c r="CG22" s="174" t="str">
        <f>IF(N22=Data!$BI$3,Data!$FJ$1,IF(N22=Data!$BI$4,Data!$FK$1,IF(N22=Data!$BI$5,Data!$FL$1,IF(N22=Data!$BI$6,Data!$FM$1,IF(N22=Data!$BI$7,Data!$FN$1, IF(N22=Data!$BI$8,Data!$FO$1, IF(N22=Data!$BI$9,Data!$FI$1, "")))))))</f>
        <v/>
      </c>
      <c r="CH22" s="174" t="str">
        <f>IF(SUM(--ISNUMBER(SEARCH({"z","Z"}, Q22))),"Yes","No")</f>
        <v>No</v>
      </c>
      <c r="CI22" s="174" t="str">
        <f t="shared" si="24"/>
        <v>OK</v>
      </c>
      <c r="CJ22" s="174">
        <f t="shared" si="25"/>
        <v>0</v>
      </c>
      <c r="CK22" s="174" t="e">
        <f>VLOOKUP(P22,Data!$DO$4:$DP$157,2,FALSE)</f>
        <v>#N/A</v>
      </c>
      <c r="CL22" s="174" t="e">
        <f t="shared" si="26"/>
        <v>#N/A</v>
      </c>
      <c r="CM22" s="162"/>
      <c r="CN22" s="162"/>
      <c r="CO22" s="162"/>
      <c r="CP22" s="366" t="str">
        <f t="shared" si="27"/>
        <v>OK</v>
      </c>
      <c r="CQ22" s="174" t="b">
        <f t="shared" si="28"/>
        <v>0</v>
      </c>
      <c r="CR22" s="174">
        <f t="shared" si="29"/>
        <v>0</v>
      </c>
      <c r="CS22" s="174">
        <f t="shared" si="30"/>
        <v>1</v>
      </c>
      <c r="CT22" s="174">
        <f t="shared" si="62"/>
        <v>0</v>
      </c>
      <c r="CU22" s="162" t="e">
        <f t="shared" si="31"/>
        <v>#DIV/0!</v>
      </c>
      <c r="CV22" s="162" t="e">
        <f>VLOOKUP(H22,Data!$BD$81:$BE$111,2,FALSE)</f>
        <v>#N/A</v>
      </c>
      <c r="CW22" s="174" t="str">
        <f t="shared" si="32"/>
        <v/>
      </c>
      <c r="CX22" s="292" t="str">
        <f>IF(H22=Data!$BE$3,Data!$HQ$2, IF(H22=Data!$BE$4,Data!$HP$2, IF(H22=Data!$BE$5,Data!$HR$2, IF(H22=Data!$BE$6,Data!$HO$2))))</f>
        <v>Super WhiteNA</v>
      </c>
      <c r="CY22" s="351" t="b">
        <f>IF(H22=Data!$BH$3,Data!$HU$2, IF(H22=Data!$BH$4,Data!$HT$2, IF(H22=Data!$BH$5,Data!$HS$2)))</f>
        <v>0</v>
      </c>
      <c r="CZ22" s="351" t="b">
        <f>IF(H22=Data!$BF$3,Data!$HQ$16, IF(H22=Data!$BF$4,Data!$HP$16, IF(H22=Data!$BF$5,Data!$HR$16, IF(H22=Data!$BF$6,Data!$HO$16))))</f>
        <v>0</v>
      </c>
      <c r="DA22" s="351" t="b">
        <f>IF(G22=Data!$BC$3,'Shutters Page 2'!CW22,IF(G22=Data!$BC$4,'Shutters Page 2'!CX22,IF(G22=Data!$BC$6,'Shutters Page 2'!CY22, IF(G22=Data!$BC$5, 'Shutters Page 2'!CX22,IF(G22=Data!$BC$7,'Shutters Page 2'!CX22)))))</f>
        <v>0</v>
      </c>
      <c r="DB22" s="162" t="e">
        <f>IF(OR(AND(L22&gt;0,#REF!="")), "Error","OK")</f>
        <v>#REF!</v>
      </c>
      <c r="DC22" s="174" t="e">
        <f>IF(COUNTIF(#REF!,Data!$CX$6),"Yes","")</f>
        <v>#REF!</v>
      </c>
      <c r="DD22" s="55" t="str">
        <f t="shared" si="33"/>
        <v/>
      </c>
      <c r="DG22" s="55" t="str">
        <f>IF(N22=Data!$BI$5,"Yes",IF(N22=Data!$BI$6,"Yes","No"))</f>
        <v>No</v>
      </c>
      <c r="DH22" s="66" t="b">
        <f>IF(N22=Data!$BI$3,Data!$JB$2,IF(N22=Data!$BI$4,Data!$JC$2,IF(N22=Data!$BI$5,Data!$JD$2,IF(N22=Data!$BI$6,DI22,IF(N22=Data!$BI$7,Data!$JF$2, IF(N22=Data!$BI$8,Data!$JA$2, IF(N22=Data!$BI$9,Data!$JG$2)))))))</f>
        <v>0</v>
      </c>
      <c r="DI22" s="55" t="e">
        <f>VLOOKUP(P22,Data!$AAY$2:$ABA$44,3,FALSE)</f>
        <v>#N/A</v>
      </c>
      <c r="DK22" s="66" t="e">
        <f>VLOOKUP(P22,Data!$DO$4:$DQ$157,3,FALSE)</f>
        <v>#N/A</v>
      </c>
      <c r="DL22" s="55" t="e">
        <f t="shared" si="34"/>
        <v>#N/A</v>
      </c>
      <c r="DM22" s="55" t="e">
        <f t="shared" si="57"/>
        <v>#N/A</v>
      </c>
      <c r="DN22" s="162" t="b">
        <f>IF(Q22=Data!$BK$3,Data!$JH$2,IF(Q22=Data!$BK$4,Data!$JI$2,IF(Q22=Data!$BK$5,Data!$JJ$2,IF(Q22=Data!$BK$6,Data!$JK$2,IF(Q22=Data!$BK$7,Data!$JL$2,IF(Q22=Data!$BK$8,Data!$JM$2,IF(Q22=Data!$BK$9,Data!$JN$2,IF(Q22=Data!$BK$10,Data!$JO$2,IF(Q22=Data!$BK$11,Data!$JP$2,IF(Q22=Data!$BK$12,Data!$JQ$2,IF(Q22=Data!$BK$13,Data!$JR$2,IF(Q22=Data!$BK$14,Data!$JS$2,IF(Q22=Data!$BK$15,Data!$JT$2,IF(Q22=Data!$BK$16,Data!$JU$2,IF(Q22=Data!$BK$17,Data!$JV$2,IF(Q22=Data!$BK$18,Data!$JW$2, IF(Q22=Data!$BK$19,Data!$JX$2, IF(Q22=Data!$BK$20,Data!$JY$2, IF(Q22=Data!$BK$21,Data!$JN$2, IF(Q22=Data!$BK$22,Data!$JN$2, IF(Q22=Data!$BK$23,Data!$JN$2, IF(Q22=Data!$BK$24,Data!$JL$19))))))))))))))))))))))</f>
        <v>0</v>
      </c>
      <c r="DO22" s="55" t="str">
        <f>Data!$JH$19</f>
        <v>LRFrameAir</v>
      </c>
      <c r="DP22" s="55" t="b">
        <f>IF(G22=Data!$JH$18,'Shutters Page 2'!DO22,'Shutters Page 2'!DN22)</f>
        <v>0</v>
      </c>
      <c r="DR22" s="174" t="str">
        <f t="shared" si="58"/>
        <v/>
      </c>
      <c r="DS22" s="174" t="e">
        <f t="shared" si="59"/>
        <v>#N/A</v>
      </c>
      <c r="DT22" s="174" t="str">
        <f t="shared" si="35"/>
        <v>OK</v>
      </c>
      <c r="DU22" s="174" t="str">
        <f t="shared" si="36"/>
        <v>OK</v>
      </c>
      <c r="DV22" s="174" t="str">
        <f t="shared" si="37"/>
        <v>OK</v>
      </c>
      <c r="DW22" s="174" t="str">
        <f t="shared" si="38"/>
        <v>OK</v>
      </c>
      <c r="DX22" s="66" t="b">
        <f>IF(N22=Data!$LW$2,Data!$LX$1,IF(N22=Data!$LW$3,Data!$LY$1,IF(N22=Data!$LW$4,Data!$LZ$1,IF(N22=Data!$LW$5,Data!$MA$1,IF(N22=Data!$LW$6,Data!$MB$1,IF(N22=Data!$LW$7,Data!$MC$1, IF(N22=Data!$LW$8,Data!$MX$1)))))))</f>
        <v>0</v>
      </c>
      <c r="DY22" s="66" t="b">
        <f>IF(N22=Data!$LW$2,Data!$LX$147,IF(N22=Data!$LW$7,Data!$MC$1))</f>
        <v>0</v>
      </c>
      <c r="DZ22" s="66" t="b">
        <f>IF(G22=Data!$BC$3,'Shutters Page 2'!DX22,IF(G22=Data!$BC$5,'Shutters Page 2'!DY22))</f>
        <v>0</v>
      </c>
      <c r="EA22" s="66" t="b">
        <f>IF(E22=Data!$MD$2,Data!$ME$2, IF(E22=Data!$MD$3,Data!$MF$2, IF(E22=Data!$MD$4,Data!$MG$2)))</f>
        <v>0</v>
      </c>
      <c r="EB22" s="162" t="str">
        <f>IF(E22="MS",Data!$AK$1,IF(G22=Data!$BC$5,Data!$EJ$40,IF(G22=Data!$BC$4,Data!$EJ$20,Data!$EJ$2)))</f>
        <v>Special_Window_Timber</v>
      </c>
      <c r="EC22" s="66" t="str">
        <f>IF(OR(AND(T22="",Q22&lt;&gt;"")),VLOOKUP(Q22,Data!$FC$2:$FD$18,2,FALSE),"")</f>
        <v/>
      </c>
      <c r="ED22" s="66" t="str">
        <f>IF(OR(AND(U22="",Q22&lt;&gt;"")),VLOOKUP(Q22,Data!$FC$2:$FD$18,2,FALSE),"")</f>
        <v/>
      </c>
      <c r="EE22" s="66" t="str">
        <f>IF(OR(AND(V22="",Q22&lt;&gt;"")),VLOOKUP(Q22,Data!$FC$2:$FD$18,2,FALSE),"")</f>
        <v/>
      </c>
      <c r="EF22" s="162" t="e">
        <f>VLOOKUP(N22,Data!$MK$2:$ML$8,2,FALSE)</f>
        <v>#N/A</v>
      </c>
      <c r="EG22" s="66" t="e">
        <f>VLOOKUP(P22,Data!$DO$4:$DO$158,1,FALSE)</f>
        <v>#N/A</v>
      </c>
      <c r="EH22" s="66" t="e">
        <f t="shared" si="39"/>
        <v>#N/A</v>
      </c>
      <c r="EI22" s="55" t="str">
        <f t="shared" si="40"/>
        <v/>
      </c>
      <c r="EJ22" s="162" t="str">
        <f t="shared" si="41"/>
        <v>OK</v>
      </c>
      <c r="EK22" s="405" t="str">
        <f>Data!$JI$19</f>
        <v>TopBottomFrameAir</v>
      </c>
      <c r="EL22" s="405" t="b">
        <f>IF(G22=Data!$JH$18,EK22,EM22)</f>
        <v>0</v>
      </c>
      <c r="EM22" s="174" t="b">
        <f>IF(Q22=Data!$NN$3,Data!$NO$2, IF(Q22=Data!$NN$4,Data!$NP$2, IF(Q22=Data!$NN$5,Data!$NQ$2, IF(Q22=Data!$NN$6,Data!$NR$2, IF(Q22=Data!$NN$7,Data!$NS$2, IF(Q22=Data!$NN$8,Data!$NT$2, IF(Q22=Data!$NN$9,Data!$NU$2, IF(Q22=Data!$NN$10,Data!$NV$2, IF(Q22=Data!$NN$11,Data!$NW$2, IF(Q22=Data!$NN$12,Data!$NX$2, IF(Q22=Data!$NN$13,Data!$NY$2, IF(Q22=Data!$NN$14,Data!$NZ$2, IF(Q22=Data!$NN$15,Data!$OA$2, IF(Q22=Data!$NN$16,Data!$OB$2, IF(Q22=Data!$NN$17,Data!$OC$2, IF(Q22=Data!$NN$18,Data!$OD$2, IF(Q22=Data!$NN$19,Data!$OE$2, IF(Q22=Data!$NN$20,Data!$OG$2, IF(Q22=Data!$NN$25,Data!$NT$2, IF(Q22=Data!$NN$26,Data!$NT$2, IF(Q22=Data!$NN$27,Data!$NT$2, IF(Q22=Data!$NN$28,Data!$OH$2))))))))))))))))))))))</f>
        <v>0</v>
      </c>
      <c r="EN22" s="174" t="b">
        <f>IF(O22=$EN$7,Data!$OD$15,'Shutters Page 2'!EO22)</f>
        <v>0</v>
      </c>
      <c r="EO22" s="174" t="b">
        <f>IF(Q22=Data!$NN$3,Data!$NO$15,IF(Q22=Data!$NN$4,Data!$NP$15,IF(Q22=Data!$NN$5,Data!$NQ$15,IF(Q22=Data!$NN$6,Data!$NR$15,IF(Q22=Data!$NN$7,Data!$NS$15,IF(Q22=Data!$NN$8,Data!$NT$15,IF(Q22=Data!$NN$9,Data!$NU$15,IF(Q22=Data!$NN$10,Data!$NV$15,IF(Q22=Data!$NN$11,Data!$NW$15,IF(Q22=Data!$NN$12,Data!$NX$15,IF(Q22=Data!$NN$13,Data!$NY$15,IF(Q22=Data!$NN$14,Data!$NZ$15,IF(N22=Data!$NN$22,Data!$OA$15,IF(N22=Data!$NN$23,Data!$OB$15,IF(Q22=Data!$NN$19,Data!$OC$15, IF(Q22=Data!$NN$20,Data!$OG$15,IF(Q22=Data!$NN$25,Data!$NT$15,IF(Q22=Data!$NN$26,Data!$NT$15,IF(Q22=Data!$NN$27,Data!$NT$15,IF(Q22=Data!$NN$28,Data!$OH$15))))))))))))))))))))</f>
        <v>0</v>
      </c>
      <c r="EP22" s="406" t="str">
        <f>Data!$JI$19</f>
        <v>TopBottomFrameAir</v>
      </c>
      <c r="EQ22" s="406" t="b">
        <f>IF(G22=Data!$JH$18,EP22,EN22)</f>
        <v>0</v>
      </c>
      <c r="ER22" s="351" t="e">
        <f>MATCH(G22,Data!$CW$10:$CW$14,0)</f>
        <v>#N/A</v>
      </c>
      <c r="ES22" s="174" t="e">
        <f>MATCH(J22,Data!$CX$9:$DA$9,0)</f>
        <v>#N/A</v>
      </c>
      <c r="ET22" s="355" t="e">
        <f>INDEX(Data!$CX$10:$DA$14,'Shutters Page 2'!ER22,'Shutters Page 2'!ES22)</f>
        <v>#N/A</v>
      </c>
      <c r="EU22" s="355" t="e">
        <f>VLOOKUP(H22,Data!$BD$81:$BE$115,2,FALSE)</f>
        <v>#N/A</v>
      </c>
      <c r="EV22" s="355" t="e">
        <f>IF(EU22=Data!$BB$80,Data!$CW$20,'Shutters Page 2'!ET22)</f>
        <v>#N/A</v>
      </c>
      <c r="EW22" s="174" t="str">
        <f>IF(SUM(--ISNUMBER(SEARCH({"combo","Combo","COMBO"}, B39))),"Yes","No")</f>
        <v>No</v>
      </c>
      <c r="EX22" s="174" t="str">
        <f>IF(SUM(--ISNUMBER(SEARCH({"combo","Combo","COMBO"}, F39))),"Yes","No")</f>
        <v>No</v>
      </c>
      <c r="EY22" s="174" t="str">
        <f t="shared" si="60"/>
        <v>No</v>
      </c>
      <c r="EZ22" s="162">
        <f t="shared" si="42"/>
        <v>1</v>
      </c>
      <c r="FA22" s="162" t="e">
        <f t="shared" si="43"/>
        <v>#DIV/0!</v>
      </c>
      <c r="FB22" s="174" t="str">
        <f t="shared" si="44"/>
        <v/>
      </c>
      <c r="FC22" s="351" t="str">
        <f t="shared" si="45"/>
        <v/>
      </c>
      <c r="FD22" s="351" t="str">
        <f t="shared" si="46"/>
        <v/>
      </c>
      <c r="FE22" s="174" t="str">
        <f t="shared" si="47"/>
        <v/>
      </c>
      <c r="FF22" s="174" t="str">
        <f t="shared" si="48"/>
        <v/>
      </c>
      <c r="FG22" s="174" t="str">
        <f t="shared" si="49"/>
        <v/>
      </c>
      <c r="FH22" s="278" t="str">
        <f t="shared" si="61"/>
        <v>No</v>
      </c>
      <c r="FI22" s="351" t="e">
        <f>MATCH(G22,Data!$FH$18:$FL$18,0)</f>
        <v>#N/A</v>
      </c>
      <c r="FJ22" s="174" t="e">
        <f>MATCH(N22,Data!$FG$19:$FG$25,0)</f>
        <v>#N/A</v>
      </c>
      <c r="FK22" s="351" t="e">
        <f>INDEX(Data!$FH$19:$FL$25,'Shutters Page 2'!FJ22,'Shutters Page 2'!FI22)</f>
        <v>#N/A</v>
      </c>
      <c r="FL22" s="411" t="e">
        <f>MATCH(G22,Data!$FH$53:$FI$53,0)</f>
        <v>#N/A</v>
      </c>
      <c r="FM22" s="411" t="e">
        <f>MATCH(N22,Data!$FG$54:$FG$60,0)</f>
        <v>#N/A</v>
      </c>
      <c r="FN22" s="411" t="e">
        <f>INDEX(Data!$FH$54:$FI$60,'Shutters Page 2'!FM22,'Shutters Page 2'!FL22)</f>
        <v>#N/A</v>
      </c>
      <c r="FO22" s="411" t="e">
        <f>IF(E22=Data!$FH$35,'Shutters Page 2'!FN22,'Shutters Page 2'!FK22)</f>
        <v>#N/A</v>
      </c>
      <c r="FP22" s="351" t="e">
        <f>MATCH(G22,Data!$ME$26:$MG$26,0)</f>
        <v>#N/A</v>
      </c>
      <c r="FQ22" s="174" t="e">
        <f>MATCH(E22,Data!$MD$27:$MD$29,0)</f>
        <v>#N/A</v>
      </c>
      <c r="FR22" s="351" t="e">
        <f>INDEX(Data!$ME$27:$MG$29, 'Shutters Page 2'!FQ22, 'Shutters Page 2'!FP22)</f>
        <v>#N/A</v>
      </c>
      <c r="FS22" s="351" t="e">
        <f>MATCH(G22,Data!$AAF$1:$AAH$1,0)</f>
        <v>#N/A</v>
      </c>
      <c r="FT22" s="174" t="e">
        <f>MATCH(N22,Data!$AAE$2:$AAE$8,0)</f>
        <v>#N/A</v>
      </c>
      <c r="FU22" s="351" t="e">
        <f>INDEX(Data!$AAF$2:$AAH$8, 'Shutters Page 2'!FT22, 'Shutters Page 2'!FS22)</f>
        <v>#N/A</v>
      </c>
      <c r="FV22" s="351" t="e">
        <f>MATCH(G22,Data!$AAF$12:$AAH$12,0)</f>
        <v>#N/A</v>
      </c>
      <c r="FW22" s="174" t="e">
        <f>MATCH(N22,Data!$AAE$13:$AAE$19,0)</f>
        <v>#N/A</v>
      </c>
      <c r="FX22" s="351" t="e">
        <f>INDEX(Data!$AAF$13:$AAH$19, 'Shutters Page 2'!FW22, 'Shutters Page 2'!FV22)</f>
        <v>#N/A</v>
      </c>
      <c r="FY22" s="351" t="e">
        <f>MATCH(G22,Data!$AAK$1:$AAM$1,0)</f>
        <v>#N/A</v>
      </c>
      <c r="FZ22" s="174" t="e">
        <f>MATCH(Q22,Data!$AAJ$2,0)</f>
        <v>#N/A</v>
      </c>
      <c r="GA22" s="351" t="e">
        <f>INDEX(Data!$AAK$2:$AAM$2, 'Shutters Page 2'!FZ22, 'Shutters Page 2'!FY22)</f>
        <v>#N/A</v>
      </c>
      <c r="GB22" s="351" t="e">
        <f>MATCH(G22,Data!$AAK$12:$AAM$12,0)</f>
        <v>#N/A</v>
      </c>
      <c r="GC22" s="174" t="e">
        <f>MATCH(Q22,Data!$AAJ$13,0)</f>
        <v>#N/A</v>
      </c>
      <c r="GD22" s="351" t="e">
        <f>INDEX(Data!$AAK$13:$AAM$13, 'Shutters Page 2'!GC22, 'Shutters Page 2'!GB22)</f>
        <v>#N/A</v>
      </c>
      <c r="GE22" s="162" t="e">
        <f>VLOOKUP(H22,Data!$AAR$1:$AAS$35,2,FALSE)</f>
        <v>#N/A</v>
      </c>
      <c r="GF22" s="162" t="e">
        <f t="shared" si="50"/>
        <v>#N/A</v>
      </c>
      <c r="GG22" s="162" t="e">
        <f t="shared" si="51"/>
        <v>#N/A</v>
      </c>
      <c r="GH22" s="162" t="e">
        <f t="shared" si="52"/>
        <v>#N/A</v>
      </c>
      <c r="GI22" s="162" t="str">
        <f>IF(G22=Data!$NC$1,Data!$ND$1,Data!$NE$1)</f>
        <v>FauxwoodStile</v>
      </c>
      <c r="GL22" s="55" t="e">
        <f>VLOOKUP('Shutters Page 2'!H22,Data!$BD$81:$BE$115,2,FALSE)</f>
        <v>#N/A</v>
      </c>
      <c r="GM22" s="55" t="e">
        <f>IF(GL22=Data!$BB$80,"Yes", "No")</f>
        <v>#N/A</v>
      </c>
      <c r="GN22" s="55" t="e">
        <f>IF(GM22="Yes",Data!$EJ$57,'Shutters Page 2'!EB22)</f>
        <v>#N/A</v>
      </c>
      <c r="GQ22" s="55" t="b">
        <f>IF(G22=$GQ$6,Data!$EN$47,IF(G22='Shutters Page 2'!$GQ$7,Data!$EM$47))</f>
        <v>0</v>
      </c>
    </row>
    <row r="23" spans="1:199" ht="36.75" customHeight="1" thickBot="1">
      <c r="A23" s="54">
        <v>15</v>
      </c>
      <c r="B23" s="21"/>
      <c r="C23" s="22"/>
      <c r="D23" s="22"/>
      <c r="E23" s="22"/>
      <c r="F23" s="46"/>
      <c r="G23" s="21"/>
      <c r="H23" s="551"/>
      <c r="I23" s="716"/>
      <c r="J23" s="22"/>
      <c r="K23" s="150" t="str">
        <f t="shared" si="0"/>
        <v/>
      </c>
      <c r="L23" s="44"/>
      <c r="M23" s="44"/>
      <c r="N23" s="44"/>
      <c r="O23" s="44"/>
      <c r="P23" s="44"/>
      <c r="Q23" s="500"/>
      <c r="R23" s="500"/>
      <c r="S23" s="21"/>
      <c r="T23" s="21"/>
      <c r="U23" s="21"/>
      <c r="V23" s="21"/>
      <c r="W23" s="44"/>
      <c r="X23" s="44"/>
      <c r="Y23" s="30"/>
      <c r="Z23" s="30"/>
      <c r="AA23" s="22"/>
      <c r="AB23" s="22"/>
      <c r="AC23" s="22"/>
      <c r="AD23" s="44"/>
      <c r="AE23" s="170" t="str">
        <f t="shared" si="1"/>
        <v/>
      </c>
      <c r="AF23" s="236"/>
      <c r="AG23" s="237"/>
      <c r="AI23" s="55">
        <f t="shared" si="2"/>
        <v>0</v>
      </c>
      <c r="AJ23" s="55">
        <f t="shared" si="3"/>
        <v>0</v>
      </c>
      <c r="AK23" s="55">
        <f>IF(P23&lt;&gt;"",VLOOKUP(P23,Data!$AAY$2:$AAZ$44,2,FALSE),0)</f>
        <v>0</v>
      </c>
      <c r="AL23" s="55" t="str">
        <f>IF(E23=Data!$BB$10,Data!$BC$10,Data!$BC$2)</f>
        <v>ShutterMaterial</v>
      </c>
      <c r="AP23" s="55" t="str">
        <f t="shared" si="53"/>
        <v>SlidingSystemNA</v>
      </c>
      <c r="AV23" s="115" t="str">
        <f t="shared" si="4"/>
        <v/>
      </c>
      <c r="AW23" s="66" t="e">
        <f t="shared" si="5"/>
        <v>#N/A</v>
      </c>
      <c r="AX23" s="174" t="e">
        <f>VLOOKUP(Q23,Data!$MI$2:$MJ$4,2,FALSE)</f>
        <v>#N/A</v>
      </c>
      <c r="AY23" s="174" t="e">
        <f t="shared" si="6"/>
        <v>#N/A</v>
      </c>
      <c r="AZ23" s="174" t="e">
        <f>VLOOKUP(N23,Data!$BI$24:$BJ$30,2,FALSE)</f>
        <v>#N/A</v>
      </c>
      <c r="BA23" s="163" t="b">
        <f>IF(G23=Data!$BO$2,Data!$BS$2, IF('Shutters Page 2'!G23=Data!$BP$2,Data!$BT$2, IF('Shutters Page 2'!G23=Data!$BQ$2,Data!$BU$2)))</f>
        <v>0</v>
      </c>
      <c r="BB23" s="361" t="str">
        <f t="shared" si="7"/>
        <v>No</v>
      </c>
      <c r="BC23" s="163" t="e">
        <f t="shared" si="8"/>
        <v>#DIV/0!</v>
      </c>
      <c r="BD23" s="361" t="e">
        <f t="shared" si="9"/>
        <v>#DIV/0!</v>
      </c>
      <c r="BE23" s="163" t="e">
        <f t="shared" si="10"/>
        <v>#DIV/0!</v>
      </c>
      <c r="BF23" s="361" t="str">
        <f t="shared" si="11"/>
        <v>No</v>
      </c>
      <c r="BG23" s="160" t="str">
        <f t="shared" si="12"/>
        <v>NotRequired</v>
      </c>
      <c r="BH23" s="163" t="b">
        <f>IF(G23=Data!$BO$2,Data!$CM$2, IF('Shutters Page 2'!G23=Data!$BP$2,Data!$CN$2, IF('Shutters Page 2'!G23=Data!$BQ$2,Data!$CO$2)))</f>
        <v>0</v>
      </c>
      <c r="BI23" s="163" t="e">
        <f t="shared" si="54"/>
        <v>#DIV/0!</v>
      </c>
      <c r="BJ23" s="164" t="str">
        <f t="shared" si="13"/>
        <v>NoHighlight</v>
      </c>
      <c r="BK23" s="361" t="str">
        <f t="shared" si="14"/>
        <v>FauxwoodRPNo</v>
      </c>
      <c r="BL23" s="161" t="str">
        <f>IF(SUM(--ISNUMBER( SEARCH({"t","T"},P23))),"Yes","No")</f>
        <v>No</v>
      </c>
      <c r="BM23" s="164" t="str">
        <f t="shared" si="15"/>
        <v>OK</v>
      </c>
      <c r="BN23" s="164" t="str">
        <f t="shared" si="16"/>
        <v>OK</v>
      </c>
      <c r="BO23" s="164" t="str">
        <f t="shared" si="17"/>
        <v>OK</v>
      </c>
      <c r="BP23" s="164" t="e">
        <f>IF(OR(AND(F23&gt;1,#REF!="L",#REF!="l"),AND(F23&gt;1,#REF!="R",#REF!="r"),AND(F23&gt;2,#REF!="LR",#REF!="lr")), "Error","OK")</f>
        <v>#REF!</v>
      </c>
      <c r="BQ23" s="164" t="str">
        <f t="shared" si="18"/>
        <v>FauxwoodAINo</v>
      </c>
      <c r="BR23" s="164" t="str">
        <f>IF(SUM(--ISNUMBER(SEARCH({"combo","Combo","COMBO"}, B40))),"Yes","No")</f>
        <v>No</v>
      </c>
      <c r="BS23" s="164" t="str">
        <f t="shared" si="55"/>
        <v>No</v>
      </c>
      <c r="BT23" s="164" t="str">
        <f>IF(SUM(--ISNUMBER( SEARCH({"c","C","b","B"},#REF!))),"Yes","No")</f>
        <v>No</v>
      </c>
      <c r="BU23" s="162">
        <f t="shared" si="19"/>
        <v>0</v>
      </c>
      <c r="BV23" s="174" t="str">
        <f>IF(N23=Data!$BI$3,Data!$DR$3,IF(N23=Data!$BI$4,Data!$DS$3,IF(N23=Data!$BI$5,Data!$DT$3,IF(N23=Data!$BI$6,Data!$DU$3,IF(N23=Data!$BI$7,Data!$DV$3, IF(N23=Data!$BI$8,Data!$DX$3, IF(N23=Data!$BI$9,Data!$DW$3, "")))))))</f>
        <v/>
      </c>
      <c r="BW23" s="174" t="str">
        <f>IF(N23=Data!$BI$3,Data!$DY$3,IF(N23=Data!$BI$4,Data!$DZ$3,IF(N23=Data!$BI$5,Data!$EA$3,IF(N23=Data!$BI$6,Data!$EB$3,IF(N23=Data!$BI$7,Data!$EC$3,IF(N23=Data!$BI$8,Data!$EE$3, IF(N23=Data!$BI$9,Data!$ED$3,"")))))))</f>
        <v/>
      </c>
      <c r="BX23" s="162">
        <f t="shared" si="20"/>
        <v>0</v>
      </c>
      <c r="BY23" s="165">
        <f t="shared" si="21"/>
        <v>0</v>
      </c>
      <c r="BZ23" s="166" t="e">
        <f t="shared" si="22"/>
        <v>#DIV/0!</v>
      </c>
      <c r="CA23" s="351" t="b">
        <f>IF(G23=Data!$EU$2,Data!$ES$2,IF(G23=Data!$EU$3,Data!$ER$2, IF(G23=Data!$EU$5,Data!$ET$2, IF(G23=Data!$EU$4,Data!$EQ$2,IF(G23=Data!$EU$6,Data!$ER$2)))))</f>
        <v>0</v>
      </c>
      <c r="CB23" s="351" t="b">
        <f>IF(G23=Data!$EU$2,Data!$EW$2,IF(G23=Data!$EU$3,Data!$EX$2,IF(G23=Data!$EU$4,Data!$EY$2, IF(G23=Data!$EU$5,Data!$EY$2,IF(G23=Data!$EU$6,Data!$EX$2)))))</f>
        <v>0</v>
      </c>
      <c r="CC23" s="174" t="e">
        <f>VLOOKUP(M23,Data!$EJ$3:$EK$15,2,FALSE)</f>
        <v>#N/A</v>
      </c>
      <c r="CD23" s="174" t="str">
        <f>IF(J23="114mm",VLOOKUP(H23,Data!$FA$2:$FB$18,2,FALSE),"OK")</f>
        <v>OK</v>
      </c>
      <c r="CE23" s="166" t="e">
        <f t="shared" si="23"/>
        <v>#DIV/0!</v>
      </c>
      <c r="CF23" s="174" t="str">
        <f>IF(OR(AND(S23="",Q23&lt;&gt;"")),VLOOKUP(Q23,Data!$FC$2:$FD$19,2,FALSE),"")</f>
        <v/>
      </c>
      <c r="CG23" s="174" t="str">
        <f>IF(N23=Data!$BI$3,Data!$FJ$1,IF(N23=Data!$BI$4,Data!$FK$1,IF(N23=Data!$BI$5,Data!$FL$1,IF(N23=Data!$BI$6,Data!$FM$1,IF(N23=Data!$BI$7,Data!$FN$1, IF(N23=Data!$BI$8,Data!$FO$1, IF(N23=Data!$BI$9,Data!$FI$1, "")))))))</f>
        <v/>
      </c>
      <c r="CH23" s="166" t="str">
        <f>IF(SUM(--ISNUMBER(SEARCH({"z","Z"}, Q23))),"Yes","No")</f>
        <v>No</v>
      </c>
      <c r="CI23" s="166" t="str">
        <f t="shared" si="24"/>
        <v>OK</v>
      </c>
      <c r="CJ23" s="174">
        <f t="shared" si="25"/>
        <v>0</v>
      </c>
      <c r="CK23" s="174" t="e">
        <f>VLOOKUP(P23,Data!$DO$4:$DP$157,2,FALSE)</f>
        <v>#N/A</v>
      </c>
      <c r="CL23" s="166" t="e">
        <f t="shared" si="26"/>
        <v>#N/A</v>
      </c>
      <c r="CM23" s="165"/>
      <c r="CN23" s="165"/>
      <c r="CO23" s="165"/>
      <c r="CP23" s="366" t="str">
        <f t="shared" si="27"/>
        <v>OK</v>
      </c>
      <c r="CQ23" s="174" t="b">
        <f t="shared" si="28"/>
        <v>0</v>
      </c>
      <c r="CR23" s="166">
        <f>IF(E23="IN",1,IF(E23="OUT",1,0))</f>
        <v>0</v>
      </c>
      <c r="CS23" s="166">
        <f t="shared" si="30"/>
        <v>1</v>
      </c>
      <c r="CT23" s="166">
        <f>CQ23*CR23*CS23</f>
        <v>0</v>
      </c>
      <c r="CU23" s="162" t="e">
        <f t="shared" si="31"/>
        <v>#DIV/0!</v>
      </c>
      <c r="CV23" s="162" t="e">
        <f>VLOOKUP(H23,Data!$BD$81:$BE$111,2,FALSE)</f>
        <v>#N/A</v>
      </c>
      <c r="CW23" s="174" t="str">
        <f t="shared" si="32"/>
        <v/>
      </c>
      <c r="CX23" s="292" t="str">
        <f>IF(H23=Data!$BE$3,Data!$HQ$2, IF(H23=Data!$BE$4,Data!$HP$2, IF(H23=Data!$BE$5,Data!$HR$2, IF(H23=Data!$BE$6,Data!$HO$2))))</f>
        <v>Super WhiteNA</v>
      </c>
      <c r="CY23" s="351" t="b">
        <f>IF(H23=Data!$BH$3,Data!$HU$2, IF(H23=Data!$BH$4,Data!$HT$2, IF(H23=Data!$BH$5,Data!$HS$2)))</f>
        <v>0</v>
      </c>
      <c r="CZ23" s="351" t="b">
        <f>IF(H23=Data!$BF$3,Data!$HQ$16, IF(H23=Data!$BF$4,Data!$HP$16, IF(H23=Data!$BF$5,Data!$HR$16, IF(H23=Data!$BF$6,Data!$HO$16))))</f>
        <v>0</v>
      </c>
      <c r="DA23" s="351" t="b">
        <f>IF(G23=Data!$BC$3,'Shutters Page 2'!CW23,IF(G23=Data!$BC$4,'Shutters Page 2'!CX23,IF(G23=Data!$BC$6,'Shutters Page 2'!CY23, IF(G23=Data!$BC$5, 'Shutters Page 2'!CX23,IF(G23=Data!$BC$7,'Shutters Page 2'!CX23)))))</f>
        <v>0</v>
      </c>
      <c r="DB23" s="165" t="e">
        <f>IF(OR(AND(L23&gt;0,#REF!="")), "Error","OK")</f>
        <v>#REF!</v>
      </c>
      <c r="DC23" s="174" t="e">
        <f>IF(COUNTIF(#REF!,Data!$CX$6),"Yes","")</f>
        <v>#REF!</v>
      </c>
      <c r="DD23" s="55" t="str">
        <f t="shared" si="33"/>
        <v/>
      </c>
      <c r="DG23" s="55" t="str">
        <f>IF(N23=Data!$BI$5,"Yes",IF(N23=Data!$BI$6,"Yes","No"))</f>
        <v>No</v>
      </c>
      <c r="DH23" s="66" t="b">
        <f>IF(N23=Data!$BI$3,Data!$JB$2,IF(N23=Data!$BI$4,Data!$JC$2,IF(N23=Data!$BI$5,Data!$JD$2,IF(N23=Data!$BI$6,DI23,IF(N23=Data!$BI$7,Data!$JF$2, IF(N23=Data!$BI$8,Data!$JA$2, IF(N23=Data!$BI$9,Data!$JG$2)))))))</f>
        <v>0</v>
      </c>
      <c r="DI23" s="55" t="e">
        <f>VLOOKUP(P23,Data!$AAY$2:$ABA$44,3,FALSE)</f>
        <v>#N/A</v>
      </c>
      <c r="DK23" s="66" t="e">
        <f>VLOOKUP(P23,Data!$DO$4:$DQ$157,3,FALSE)</f>
        <v>#N/A</v>
      </c>
      <c r="DL23" s="55" t="e">
        <f t="shared" si="34"/>
        <v>#N/A</v>
      </c>
      <c r="DM23" s="55" t="e">
        <f>IF(DL23=0,"OK", "Layout Code &amp; T Post Quantity Issue")</f>
        <v>#N/A</v>
      </c>
      <c r="DN23" s="162" t="b">
        <f>IF(Q23=Data!$BK$3,Data!$JH$2,IF(Q23=Data!$BK$4,Data!$JI$2,IF(Q23=Data!$BK$5,Data!$JJ$2,IF(Q23=Data!$BK$6,Data!$JK$2,IF(Q23=Data!$BK$7,Data!$JL$2,IF(Q23=Data!$BK$8,Data!$JM$2,IF(Q23=Data!$BK$9,Data!$JN$2,IF(Q23=Data!$BK$10,Data!$JO$2,IF(Q23=Data!$BK$11,Data!$JP$2,IF(Q23=Data!$BK$12,Data!$JQ$2,IF(Q23=Data!$BK$13,Data!$JR$2,IF(Q23=Data!$BK$14,Data!$JS$2,IF(Q23=Data!$BK$15,Data!$JT$2,IF(Q23=Data!$BK$16,Data!$JU$2,IF(Q23=Data!$BK$17,Data!$JV$2,IF(Q23=Data!$BK$18,Data!$JW$2, IF(Q23=Data!$BK$19,Data!$JX$2, IF(Q23=Data!$BK$20,Data!$JY$2, IF(Q23=Data!$BK$21,Data!$JN$2, IF(Q23=Data!$BK$22,Data!$JN$2, IF(Q23=Data!$BK$23,Data!$JN$2, IF(Q23=Data!$BK$24,Data!$JL$19))))))))))))))))))))))</f>
        <v>0</v>
      </c>
      <c r="DO23" s="55" t="str">
        <f>Data!$JH$19</f>
        <v>LRFrameAir</v>
      </c>
      <c r="DP23" s="55" t="b">
        <f>IF(G23=Data!$JH$18,'Shutters Page 2'!DO23,'Shutters Page 2'!DN23)</f>
        <v>0</v>
      </c>
      <c r="DR23" s="174" t="str">
        <f t="shared" si="58"/>
        <v/>
      </c>
      <c r="DS23" s="174" t="e">
        <f t="shared" si="59"/>
        <v>#N/A</v>
      </c>
      <c r="DT23" s="174" t="str">
        <f t="shared" si="35"/>
        <v>OK</v>
      </c>
      <c r="DU23" s="174" t="str">
        <f t="shared" si="36"/>
        <v>OK</v>
      </c>
      <c r="DV23" s="174" t="str">
        <f t="shared" si="37"/>
        <v>OK</v>
      </c>
      <c r="DW23" s="174" t="str">
        <f t="shared" si="38"/>
        <v>OK</v>
      </c>
      <c r="DX23" s="66" t="b">
        <f>IF(N23=Data!$LW$2,Data!$LX$1,IF(N23=Data!$LW$3,Data!$LY$1,IF(N23=Data!$LW$4,Data!$LZ$1,IF(N23=Data!$LW$5,Data!$MA$1,IF(N23=Data!$LW$6,Data!$MB$1,IF(N23=Data!$LW$7,Data!$MC$1, IF(N23=Data!$LW$8,Data!$MX$1)))))))</f>
        <v>0</v>
      </c>
      <c r="DY23" s="66" t="b">
        <f>IF(N23=Data!$LW$2,Data!$LX$147,IF(N23=Data!$LW$7,Data!$MC$1))</f>
        <v>0</v>
      </c>
      <c r="DZ23" s="66" t="b">
        <f>IF(G23=Data!$BC$3,'Shutters Page 2'!DX23,IF(G23=Data!$BC$5,'Shutters Page 2'!DY23))</f>
        <v>0</v>
      </c>
      <c r="EA23" s="66" t="b">
        <f>IF(E23=Data!$MD$2,Data!$ME$2, IF(E23=Data!$MD$3,Data!$MF$2, IF(E23=Data!$MD$4,Data!$MG$2)))</f>
        <v>0</v>
      </c>
      <c r="EB23" s="162" t="str">
        <f>IF(E23="MS",Data!$AK$1,IF(G23=Data!$BC$5,Data!$EJ$40,IF(G23=Data!$BC$4,Data!$EJ$20,Data!$EJ$2)))</f>
        <v>Special_Window_Timber</v>
      </c>
      <c r="EC23" s="66" t="str">
        <f>IF(OR(AND(T23="",Q23&lt;&gt;"")),VLOOKUP(Q23,Data!$FC$2:$FD$18,2,FALSE),"")</f>
        <v/>
      </c>
      <c r="ED23" s="66" t="str">
        <f>IF(OR(AND(U23="",Q23&lt;&gt;"")),VLOOKUP(Q23,Data!$FC$2:$FD$18,2,FALSE),"")</f>
        <v/>
      </c>
      <c r="EE23" s="66" t="str">
        <f>IF(OR(AND(V23="",Q23&lt;&gt;"")),VLOOKUP(Q23,Data!$FC$2:$FD$18,2,FALSE),"")</f>
        <v/>
      </c>
      <c r="EF23" s="162" t="e">
        <f>VLOOKUP(N23,Data!$MK$2:$ML$8,2,FALSE)</f>
        <v>#N/A</v>
      </c>
      <c r="EG23" s="66" t="e">
        <f>VLOOKUP(P23,Data!$DO$4:$DO$158,1,FALSE)</f>
        <v>#N/A</v>
      </c>
      <c r="EH23" s="66" t="e">
        <f t="shared" si="39"/>
        <v>#N/A</v>
      </c>
      <c r="EI23" s="55" t="str">
        <f t="shared" si="40"/>
        <v/>
      </c>
      <c r="EJ23" s="162" t="str">
        <f t="shared" si="41"/>
        <v>OK</v>
      </c>
      <c r="EK23" s="405" t="str">
        <f>Data!$JI$19</f>
        <v>TopBottomFrameAir</v>
      </c>
      <c r="EL23" s="405" t="b">
        <f>IF(G23=Data!$JH$18,EK23,EM23)</f>
        <v>0</v>
      </c>
      <c r="EM23" s="174" t="b">
        <f>IF(Q23=Data!$NN$3,Data!$NO$2, IF(Q23=Data!$NN$4,Data!$NP$2, IF(Q23=Data!$NN$5,Data!$NQ$2, IF(Q23=Data!$NN$6,Data!$NR$2, IF(Q23=Data!$NN$7,Data!$NS$2, IF(Q23=Data!$NN$8,Data!$NT$2, IF(Q23=Data!$NN$9,Data!$NU$2, IF(Q23=Data!$NN$10,Data!$NV$2, IF(Q23=Data!$NN$11,Data!$NW$2, IF(Q23=Data!$NN$12,Data!$NX$2, IF(Q23=Data!$NN$13,Data!$NY$2, IF(Q23=Data!$NN$14,Data!$NZ$2, IF(Q23=Data!$NN$15,Data!$OA$2, IF(Q23=Data!$NN$16,Data!$OB$2, IF(Q23=Data!$NN$17,Data!$OC$2, IF(Q23=Data!$NN$18,Data!$OD$2, IF(Q23=Data!$NN$19,Data!$OE$2, IF(Q23=Data!$NN$20,Data!$OG$2, IF(Q23=Data!$NN$25,Data!$NT$2, IF(Q23=Data!$NN$26,Data!$NT$2, IF(Q23=Data!$NN$27,Data!$NT$2, IF(Q23=Data!$NN$28,Data!$OH$2))))))))))))))))))))))</f>
        <v>0</v>
      </c>
      <c r="EN23" s="174" t="b">
        <f>IF(O23=$EN$7,Data!$OD$15,'Shutters Page 2'!EO23)</f>
        <v>0</v>
      </c>
      <c r="EO23" s="174" t="b">
        <f>IF(Q23=Data!$NN$3,Data!$NO$15,IF(Q23=Data!$NN$4,Data!$NP$15,IF(Q23=Data!$NN$5,Data!$NQ$15,IF(Q23=Data!$NN$6,Data!$NR$15,IF(Q23=Data!$NN$7,Data!$NS$15,IF(Q23=Data!$NN$8,Data!$NT$15,IF(Q23=Data!$NN$9,Data!$NU$15,IF(Q23=Data!$NN$10,Data!$NV$15,IF(Q23=Data!$NN$11,Data!$NW$15,IF(Q23=Data!$NN$12,Data!$NX$15,IF(Q23=Data!$NN$13,Data!$NY$15,IF(Q23=Data!$NN$14,Data!$NZ$15,IF(N23=Data!$NN$22,Data!$OA$15,IF(N23=Data!$NN$23,Data!$OB$15,IF(Q23=Data!$NN$19,Data!$OC$15, IF(Q23=Data!$NN$20,Data!$OG$15,IF(Q23=Data!$NN$25,Data!$NT$15,IF(Q23=Data!$NN$26,Data!$NT$15,IF(Q23=Data!$NN$27,Data!$NT$15,IF(Q23=Data!$NN$28,Data!$OH$15))))))))))))))))))))</f>
        <v>0</v>
      </c>
      <c r="EP23" s="406" t="str">
        <f>Data!$JI$19</f>
        <v>TopBottomFrameAir</v>
      </c>
      <c r="EQ23" s="406" t="b">
        <f>IF(G23=Data!$JH$18,EP23,EN23)</f>
        <v>0</v>
      </c>
      <c r="ER23" s="351" t="e">
        <f>MATCH(G23,Data!$CW$10:$CW$14,0)</f>
        <v>#N/A</v>
      </c>
      <c r="ES23" s="174" t="e">
        <f>MATCH(J23,Data!$CX$9:$DA$9,0)</f>
        <v>#N/A</v>
      </c>
      <c r="ET23" s="355" t="e">
        <f>INDEX(Data!$CX$10:$DA$14,'Shutters Page 2'!ER23,'Shutters Page 2'!ES23)</f>
        <v>#N/A</v>
      </c>
      <c r="EU23" s="355" t="e">
        <f>VLOOKUP(H23,Data!$BD$81:$BE$115,2,FALSE)</f>
        <v>#N/A</v>
      </c>
      <c r="EV23" s="355" t="e">
        <f>IF(EU23=Data!$BB$80,Data!$CW$20,'Shutters Page 2'!ET23)</f>
        <v>#N/A</v>
      </c>
      <c r="EW23" s="174" t="str">
        <f>IF(SUM(--ISNUMBER(SEARCH({"combo","Combo","COMBO"}, B40))),"Yes","No")</f>
        <v>No</v>
      </c>
      <c r="EX23" s="174" t="str">
        <f>IF(SUM(--ISNUMBER(SEARCH({"combo","Combo","COMBO"}, F40))),"Yes","No")</f>
        <v>No</v>
      </c>
      <c r="EY23" s="174" t="str">
        <f t="shared" si="60"/>
        <v>No</v>
      </c>
      <c r="EZ23" s="162">
        <f t="shared" si="42"/>
        <v>1</v>
      </c>
      <c r="FA23" s="162" t="e">
        <f t="shared" si="43"/>
        <v>#DIV/0!</v>
      </c>
      <c r="FB23" s="174" t="str">
        <f t="shared" si="44"/>
        <v/>
      </c>
      <c r="FC23" s="351" t="str">
        <f t="shared" si="45"/>
        <v/>
      </c>
      <c r="FD23" s="351" t="str">
        <f t="shared" si="46"/>
        <v/>
      </c>
      <c r="FE23" s="174" t="str">
        <f t="shared" si="47"/>
        <v/>
      </c>
      <c r="FF23" s="174" t="str">
        <f t="shared" si="48"/>
        <v/>
      </c>
      <c r="FG23" s="174" t="str">
        <f t="shared" si="49"/>
        <v/>
      </c>
      <c r="FH23" s="278" t="str">
        <f t="shared" si="61"/>
        <v>No</v>
      </c>
      <c r="FI23" s="351" t="e">
        <f>MATCH(G23,Data!$FH$18:$FL$18,0)</f>
        <v>#N/A</v>
      </c>
      <c r="FJ23" s="174" t="e">
        <f>MATCH(N23,Data!$FG$19:$FG$25,0)</f>
        <v>#N/A</v>
      </c>
      <c r="FK23" s="351" t="e">
        <f>INDEX(Data!$FH$19:$FL$25,'Shutters Page 2'!FJ23,'Shutters Page 2'!FI23)</f>
        <v>#N/A</v>
      </c>
      <c r="FL23" s="411" t="e">
        <f>MATCH(G23,Data!$FH$53:$FI$53,0)</f>
        <v>#N/A</v>
      </c>
      <c r="FM23" s="411" t="e">
        <f>MATCH(N23,Data!$FG$54:$FG$60,0)</f>
        <v>#N/A</v>
      </c>
      <c r="FN23" s="411" t="e">
        <f>INDEX(Data!$FH$54:$FI$60,'Shutters Page 2'!FM23,'Shutters Page 2'!FL23)</f>
        <v>#N/A</v>
      </c>
      <c r="FO23" s="411" t="e">
        <f>IF(E23=Data!$FH$35,'Shutters Page 2'!FN23,'Shutters Page 2'!FK23)</f>
        <v>#N/A</v>
      </c>
      <c r="FP23" s="351" t="e">
        <f>MATCH(G23,Data!$ME$26:$MG$26,0)</f>
        <v>#N/A</v>
      </c>
      <c r="FQ23" s="174" t="e">
        <f>MATCH(E23,Data!$MD$27:$MD$29,0)</f>
        <v>#N/A</v>
      </c>
      <c r="FR23" s="351" t="e">
        <f>INDEX(Data!$ME$27:$MG$29, 'Shutters Page 2'!FQ23, 'Shutters Page 2'!FP23)</f>
        <v>#N/A</v>
      </c>
      <c r="FS23" s="351" t="e">
        <f>MATCH(G23,Data!$AAF$1:$AAH$1,0)</f>
        <v>#N/A</v>
      </c>
      <c r="FT23" s="174" t="e">
        <f>MATCH(N23,Data!$AAE$2:$AAE$8,0)</f>
        <v>#N/A</v>
      </c>
      <c r="FU23" s="351" t="e">
        <f>INDEX(Data!$AAF$2:$AAH$8, 'Shutters Page 2'!FT23, 'Shutters Page 2'!FS23)</f>
        <v>#N/A</v>
      </c>
      <c r="FV23" s="351" t="e">
        <f>MATCH(G23,Data!$AAF$12:$AAH$12,0)</f>
        <v>#N/A</v>
      </c>
      <c r="FW23" s="174" t="e">
        <f>MATCH(N23,Data!$AAE$13:$AAE$19,0)</f>
        <v>#N/A</v>
      </c>
      <c r="FX23" s="351" t="e">
        <f>INDEX(Data!$AAF$13:$AAH$19, 'Shutters Page 2'!FW23, 'Shutters Page 2'!FV23)</f>
        <v>#N/A</v>
      </c>
      <c r="FY23" s="351" t="e">
        <f>MATCH(G23,Data!$AAK$1:$AAM$1,0)</f>
        <v>#N/A</v>
      </c>
      <c r="FZ23" s="174" t="e">
        <f>MATCH(Q23,Data!$AAJ$2,0)</f>
        <v>#N/A</v>
      </c>
      <c r="GA23" s="351" t="e">
        <f>INDEX(Data!$AAK$2:$AAM$2, 'Shutters Page 2'!FZ23, 'Shutters Page 2'!FY23)</f>
        <v>#N/A</v>
      </c>
      <c r="GB23" s="351" t="e">
        <f>MATCH(G23,Data!$AAK$12:$AAM$12,0)</f>
        <v>#N/A</v>
      </c>
      <c r="GC23" s="174" t="e">
        <f>MATCH(Q23,Data!$AAJ$13,0)</f>
        <v>#N/A</v>
      </c>
      <c r="GD23" s="351" t="e">
        <f>INDEX(Data!$AAK$13:$AAM$13, 'Shutters Page 2'!GC23, 'Shutters Page 2'!GB23)</f>
        <v>#N/A</v>
      </c>
      <c r="GE23" s="162" t="e">
        <f>VLOOKUP(H23,Data!$AAR$1:$AAS$35,2,FALSE)</f>
        <v>#N/A</v>
      </c>
      <c r="GF23" s="162" t="e">
        <f t="shared" si="50"/>
        <v>#N/A</v>
      </c>
      <c r="GG23" s="162" t="e">
        <f t="shared" si="51"/>
        <v>#N/A</v>
      </c>
      <c r="GH23" s="162" t="e">
        <f t="shared" si="52"/>
        <v>#N/A</v>
      </c>
      <c r="GI23" s="162" t="str">
        <f>IF(G23=Data!$NC$1,Data!$ND$1,Data!$NE$1)</f>
        <v>FauxwoodStile</v>
      </c>
      <c r="GL23" s="55" t="e">
        <f>VLOOKUP('Shutters Page 2'!H23,Data!$BD$81:$BE$115,2,FALSE)</f>
        <v>#N/A</v>
      </c>
      <c r="GM23" s="55" t="e">
        <f>IF(GL23=Data!$BB$80,"Yes", "No")</f>
        <v>#N/A</v>
      </c>
      <c r="GN23" s="55" t="e">
        <f>IF(GM23="Yes",Data!$EJ$57,'Shutters Page 2'!EB23)</f>
        <v>#N/A</v>
      </c>
      <c r="GQ23" s="55" t="b">
        <f>IF(G23=$GQ$6,Data!$EN$47,IF(G23='Shutters Page 2'!$GQ$7,Data!$EM$47))</f>
        <v>0</v>
      </c>
    </row>
    <row r="24" spans="1:199" ht="18.75" customHeight="1" thickTop="1" thickBot="1">
      <c r="A24" s="713"/>
      <c r="B24" s="713"/>
      <c r="I24" s="55"/>
      <c r="K24" s="56"/>
      <c r="L24" s="56"/>
      <c r="M24" s="172"/>
      <c r="N24" s="172"/>
      <c r="O24" s="172"/>
      <c r="P24" s="172"/>
      <c r="Q24" s="172"/>
      <c r="R24" s="172"/>
      <c r="S24" s="173"/>
      <c r="AI24" s="55">
        <f>SUM(AI9:AI23)</f>
        <v>0</v>
      </c>
      <c r="AJ24" s="55">
        <f>SUM(AJ9:AJ23)</f>
        <v>0</v>
      </c>
      <c r="AK24" s="55">
        <f>SUM(AI24:AJ24)</f>
        <v>0</v>
      </c>
      <c r="AL24" s="55" t="str">
        <f>IF(E24=Data!$BB$10,Data!$BC$10,Data!$BC$2)</f>
        <v>ShutterMaterial</v>
      </c>
      <c r="AP24" s="55" t="str">
        <f t="shared" si="53"/>
        <v>SlidingSystemNA</v>
      </c>
      <c r="AV24" s="56"/>
      <c r="BB24" s="66"/>
      <c r="BD24" s="66"/>
      <c r="BF24" s="66"/>
      <c r="BJ24" s="66"/>
      <c r="BK24" s="55"/>
      <c r="BV24" s="66"/>
      <c r="BW24" s="66"/>
      <c r="CA24" s="66"/>
      <c r="CF24" s="66"/>
      <c r="CG24" s="66"/>
      <c r="CJ24" s="66"/>
      <c r="CK24" s="66"/>
      <c r="CL24" s="66"/>
      <c r="CP24" s="294"/>
      <c r="CQ24" s="66"/>
      <c r="CR24" s="66"/>
      <c r="CS24" s="66"/>
      <c r="CT24" s="66"/>
      <c r="CU24" s="55"/>
      <c r="CV24" s="55"/>
      <c r="CW24" s="66"/>
      <c r="CY24" s="66"/>
      <c r="CZ24" s="66"/>
      <c r="DH24" s="66"/>
      <c r="DK24" s="66"/>
      <c r="DM24" s="55" t="str">
        <f>IF(COUNTIF(DM9:DM23,Data!JZ2),"Layout Code &amp; T Post Quantity Issue","")</f>
        <v/>
      </c>
      <c r="DN24" s="55"/>
      <c r="DO24" s="55"/>
      <c r="DP24" s="55"/>
      <c r="EC24" s="66"/>
      <c r="ED24" s="66"/>
      <c r="EE24" s="66"/>
    </row>
    <row r="25" spans="1:199" ht="29.25" customHeight="1" thickTop="1" thickBot="1">
      <c r="A25" s="140" t="s">
        <v>144</v>
      </c>
      <c r="B25" s="592" t="s">
        <v>642</v>
      </c>
      <c r="C25" s="593"/>
      <c r="D25" s="593"/>
      <c r="E25" s="594"/>
      <c r="F25" s="715" t="s">
        <v>643</v>
      </c>
      <c r="G25" s="715"/>
      <c r="H25" s="715"/>
      <c r="I25" s="715"/>
      <c r="J25" s="715"/>
      <c r="K25" s="592" t="s">
        <v>788</v>
      </c>
      <c r="L25" s="593"/>
      <c r="M25" s="594"/>
      <c r="N25" s="592" t="s">
        <v>790</v>
      </c>
      <c r="O25" s="593"/>
      <c r="P25" s="593"/>
      <c r="Q25" s="593"/>
      <c r="R25" s="593"/>
      <c r="S25" s="593"/>
      <c r="T25" s="593"/>
      <c r="U25" s="594"/>
      <c r="V25" s="683" t="s">
        <v>161</v>
      </c>
      <c r="W25" s="683"/>
      <c r="X25" s="683"/>
      <c r="Y25" s="683"/>
      <c r="Z25" s="683"/>
      <c r="AA25" s="683"/>
      <c r="AB25" s="683"/>
      <c r="AC25" s="683"/>
      <c r="AD25" s="684"/>
      <c r="AE25" s="685"/>
      <c r="AF25" s="57"/>
      <c r="AG25" s="57"/>
      <c r="AH25" s="84"/>
      <c r="BB25" s="66"/>
      <c r="BD25" s="66"/>
      <c r="BF25" s="66"/>
      <c r="BJ25" s="66"/>
      <c r="BK25" s="55"/>
      <c r="BV25" s="66"/>
      <c r="BW25" s="66"/>
      <c r="CA25" s="66"/>
      <c r="CF25" s="66"/>
      <c r="CG25" s="66"/>
      <c r="CJ25" s="66"/>
      <c r="CK25" s="66"/>
      <c r="CL25" s="66"/>
      <c r="CP25" s="294"/>
      <c r="CQ25" s="66"/>
      <c r="CR25" s="66"/>
      <c r="CS25" s="66"/>
      <c r="CT25" s="66"/>
      <c r="CU25" s="55"/>
      <c r="CV25" s="55"/>
      <c r="CW25" s="66"/>
      <c r="CY25" s="66"/>
      <c r="CZ25" s="66"/>
      <c r="DH25" s="66"/>
      <c r="DK25" s="66"/>
      <c r="DN25" s="55"/>
      <c r="DO25" s="55"/>
      <c r="DP25" s="55"/>
      <c r="EC25" s="66"/>
      <c r="ED25" s="66"/>
      <c r="EE25" s="66"/>
    </row>
    <row r="26" spans="1:199" ht="18" customHeight="1" thickTop="1">
      <c r="A26" s="129">
        <v>1</v>
      </c>
      <c r="B26" s="609"/>
      <c r="C26" s="609"/>
      <c r="D26" s="609"/>
      <c r="E26" s="609"/>
      <c r="F26" s="604"/>
      <c r="G26" s="604"/>
      <c r="H26" s="604"/>
      <c r="I26" s="604"/>
      <c r="J26" s="605"/>
      <c r="K26" s="612"/>
      <c r="L26" s="612"/>
      <c r="M26" s="612"/>
      <c r="N26" s="612"/>
      <c r="O26" s="612"/>
      <c r="P26" s="612"/>
      <c r="Q26" s="612"/>
      <c r="R26" s="612"/>
      <c r="S26" s="612"/>
      <c r="T26" s="612"/>
      <c r="U26" s="612"/>
      <c r="V26" s="662"/>
      <c r="W26" s="663"/>
      <c r="X26" s="663"/>
      <c r="Y26" s="663"/>
      <c r="Z26" s="663"/>
      <c r="AA26" s="663"/>
      <c r="AB26" s="663"/>
      <c r="AC26" s="663"/>
      <c r="AD26" s="663"/>
      <c r="AE26" s="664"/>
      <c r="AF26" s="58"/>
      <c r="AG26" s="58"/>
      <c r="AH26" s="84"/>
      <c r="BA26" s="368" t="e">
        <f>VLOOKUP(H43,Data!$FF$76:$FG$137,2,FALSE)</f>
        <v>#N/A</v>
      </c>
      <c r="BB26" s="66"/>
      <c r="BD26" s="66"/>
      <c r="BF26" s="66"/>
      <c r="BJ26" s="66"/>
      <c r="BK26" s="55"/>
      <c r="BV26" s="66"/>
      <c r="BW26" s="66"/>
      <c r="CA26" s="66"/>
      <c r="CF26" s="66"/>
      <c r="CG26" s="66"/>
      <c r="CJ26" s="66"/>
      <c r="CK26" s="66"/>
      <c r="CL26" s="66"/>
      <c r="CP26" s="294"/>
      <c r="CQ26" s="66"/>
      <c r="CR26" s="66"/>
      <c r="CS26" s="66"/>
      <c r="CT26" s="66"/>
      <c r="CU26" s="55"/>
      <c r="CV26" s="55"/>
      <c r="CW26" s="66"/>
      <c r="CY26" s="66"/>
      <c r="CZ26" s="66"/>
      <c r="DH26" s="66"/>
      <c r="DK26" s="66"/>
      <c r="DN26" s="55"/>
      <c r="DO26" s="55"/>
      <c r="DP26" s="55"/>
      <c r="EC26" s="66"/>
      <c r="ED26" s="66"/>
      <c r="EE26" s="66"/>
    </row>
    <row r="27" spans="1:199" ht="18" customHeight="1">
      <c r="A27" s="130">
        <v>2</v>
      </c>
      <c r="B27" s="609"/>
      <c r="C27" s="609"/>
      <c r="D27" s="609"/>
      <c r="E27" s="609"/>
      <c r="F27" s="604"/>
      <c r="G27" s="604"/>
      <c r="H27" s="604"/>
      <c r="I27" s="604"/>
      <c r="J27" s="605"/>
      <c r="K27" s="595"/>
      <c r="L27" s="595"/>
      <c r="M27" s="595"/>
      <c r="N27" s="595"/>
      <c r="O27" s="595"/>
      <c r="P27" s="595"/>
      <c r="Q27" s="595"/>
      <c r="R27" s="595"/>
      <c r="S27" s="595"/>
      <c r="T27" s="595"/>
      <c r="U27" s="595"/>
      <c r="V27" s="665"/>
      <c r="W27" s="666"/>
      <c r="X27" s="666"/>
      <c r="Y27" s="666"/>
      <c r="Z27" s="666"/>
      <c r="AA27" s="666"/>
      <c r="AB27" s="666"/>
      <c r="AC27" s="666"/>
      <c r="AD27" s="666"/>
      <c r="AE27" s="667"/>
      <c r="AF27" s="58"/>
      <c r="AG27" s="58"/>
      <c r="AH27" s="84"/>
      <c r="BA27" s="368" t="e">
        <f>VLOOKUP(H44,Data!$FF$76:$FG$137,2,FALSE)</f>
        <v>#N/A</v>
      </c>
      <c r="BB27" s="66"/>
      <c r="BD27" s="66"/>
      <c r="BF27" s="66"/>
      <c r="BJ27" s="66"/>
      <c r="BK27" s="55"/>
      <c r="BV27" s="66"/>
      <c r="BW27" s="66"/>
      <c r="CA27" s="66"/>
      <c r="CF27" s="66"/>
      <c r="CG27" s="66"/>
      <c r="CJ27" s="66"/>
      <c r="CK27" s="66"/>
      <c r="CL27" s="66"/>
      <c r="CP27" s="294"/>
      <c r="CQ27" s="66"/>
      <c r="CR27" s="66"/>
      <c r="CS27" s="66"/>
      <c r="CT27" s="66"/>
      <c r="CU27" s="55"/>
      <c r="CV27" s="55"/>
      <c r="CW27" s="66"/>
      <c r="CY27" s="66"/>
      <c r="CZ27" s="66"/>
      <c r="DH27" s="66"/>
      <c r="DK27" s="66"/>
      <c r="DN27" s="55"/>
      <c r="DO27" s="55"/>
      <c r="DP27" s="55"/>
      <c r="EC27" s="66"/>
      <c r="ED27" s="66"/>
      <c r="EE27" s="66"/>
    </row>
    <row r="28" spans="1:199" ht="18" customHeight="1">
      <c r="A28" s="130">
        <v>3</v>
      </c>
      <c r="B28" s="609"/>
      <c r="C28" s="609"/>
      <c r="D28" s="609"/>
      <c r="E28" s="609"/>
      <c r="F28" s="604"/>
      <c r="G28" s="604"/>
      <c r="H28" s="604"/>
      <c r="I28" s="604"/>
      <c r="J28" s="605"/>
      <c r="K28" s="595"/>
      <c r="L28" s="595"/>
      <c r="M28" s="595"/>
      <c r="N28" s="595"/>
      <c r="O28" s="595"/>
      <c r="P28" s="595"/>
      <c r="Q28" s="595"/>
      <c r="R28" s="595"/>
      <c r="S28" s="595"/>
      <c r="T28" s="595"/>
      <c r="U28" s="595"/>
      <c r="V28" s="665"/>
      <c r="W28" s="666"/>
      <c r="X28" s="666"/>
      <c r="Y28" s="666"/>
      <c r="Z28" s="666"/>
      <c r="AA28" s="666"/>
      <c r="AB28" s="666"/>
      <c r="AC28" s="666"/>
      <c r="AD28" s="666"/>
      <c r="AE28" s="667"/>
      <c r="AF28" s="58"/>
      <c r="AG28" s="58"/>
      <c r="AH28" s="84"/>
      <c r="BA28" s="368" t="e">
        <f>VLOOKUP(F45,Data!$FF$76:$FG$137,2,FALSE)</f>
        <v>#N/A</v>
      </c>
      <c r="BB28" s="66"/>
      <c r="BD28" s="66"/>
      <c r="BF28" s="66"/>
      <c r="BJ28" s="66"/>
      <c r="BK28" s="55"/>
      <c r="BV28" s="66"/>
      <c r="BW28" s="66"/>
      <c r="CA28" s="66"/>
      <c r="CF28" s="66"/>
      <c r="CG28" s="66"/>
      <c r="CJ28" s="66"/>
      <c r="CK28" s="66"/>
      <c r="CL28" s="66"/>
      <c r="CP28" s="294"/>
      <c r="CQ28" s="66"/>
      <c r="CR28" s="66"/>
      <c r="CS28" s="66"/>
      <c r="CT28" s="66"/>
      <c r="CU28" s="55"/>
      <c r="CV28" s="55"/>
      <c r="CW28" s="66"/>
      <c r="CY28" s="66"/>
      <c r="CZ28" s="66"/>
      <c r="DH28" s="66"/>
      <c r="DK28" s="66"/>
      <c r="DN28" s="55"/>
      <c r="DO28" s="55"/>
      <c r="DP28" s="55"/>
      <c r="EC28" s="66"/>
      <c r="ED28" s="66"/>
      <c r="EE28" s="66"/>
    </row>
    <row r="29" spans="1:199" ht="18" customHeight="1">
      <c r="A29" s="130">
        <v>4</v>
      </c>
      <c r="B29" s="609"/>
      <c r="C29" s="609"/>
      <c r="D29" s="609"/>
      <c r="E29" s="609"/>
      <c r="F29" s="604"/>
      <c r="G29" s="604"/>
      <c r="H29" s="604"/>
      <c r="I29" s="604"/>
      <c r="J29" s="605"/>
      <c r="K29" s="595"/>
      <c r="L29" s="595"/>
      <c r="M29" s="595"/>
      <c r="N29" s="595"/>
      <c r="O29" s="595"/>
      <c r="P29" s="595"/>
      <c r="Q29" s="595"/>
      <c r="R29" s="595"/>
      <c r="S29" s="595"/>
      <c r="T29" s="595"/>
      <c r="U29" s="595"/>
      <c r="V29" s="665"/>
      <c r="W29" s="666"/>
      <c r="X29" s="666"/>
      <c r="Y29" s="666"/>
      <c r="Z29" s="666"/>
      <c r="AA29" s="666"/>
      <c r="AB29" s="666"/>
      <c r="AC29" s="666"/>
      <c r="AD29" s="666"/>
      <c r="AE29" s="667"/>
      <c r="AF29" s="58"/>
      <c r="AG29" s="58"/>
      <c r="AH29" s="84"/>
      <c r="BA29" s="368" t="e">
        <f>VLOOKUP(H46,Data!$FF$76:$FG$137,2,FALSE)</f>
        <v>#N/A</v>
      </c>
      <c r="BB29" s="66"/>
      <c r="BD29" s="66"/>
      <c r="BF29" s="66"/>
      <c r="BJ29" s="66"/>
      <c r="BK29" s="55"/>
      <c r="BV29" s="66"/>
      <c r="BW29" s="66"/>
      <c r="CA29" s="66"/>
      <c r="CF29" s="66"/>
      <c r="CG29" s="66"/>
      <c r="CJ29" s="66"/>
      <c r="CK29" s="66"/>
      <c r="CL29" s="66"/>
      <c r="CP29" s="294"/>
      <c r="CQ29" s="66"/>
      <c r="CR29" s="66"/>
      <c r="CS29" s="66"/>
      <c r="CT29" s="66"/>
      <c r="CU29" s="55"/>
      <c r="CV29" s="55"/>
      <c r="CW29" s="66"/>
      <c r="CY29" s="66"/>
      <c r="CZ29" s="66"/>
      <c r="DH29" s="66"/>
      <c r="DK29" s="66"/>
      <c r="DN29" s="55"/>
      <c r="DO29" s="55"/>
      <c r="DP29" s="55"/>
      <c r="EC29" s="66"/>
      <c r="ED29" s="66"/>
      <c r="EE29" s="66"/>
    </row>
    <row r="30" spans="1:199" ht="18" customHeight="1">
      <c r="A30" s="130">
        <v>5</v>
      </c>
      <c r="B30" s="609"/>
      <c r="C30" s="609"/>
      <c r="D30" s="609"/>
      <c r="E30" s="609"/>
      <c r="F30" s="604"/>
      <c r="G30" s="604"/>
      <c r="H30" s="604"/>
      <c r="I30" s="604"/>
      <c r="J30" s="605"/>
      <c r="K30" s="595"/>
      <c r="L30" s="595"/>
      <c r="M30" s="595"/>
      <c r="N30" s="595"/>
      <c r="O30" s="595"/>
      <c r="P30" s="595"/>
      <c r="Q30" s="595"/>
      <c r="R30" s="595"/>
      <c r="S30" s="595"/>
      <c r="T30" s="595"/>
      <c r="U30" s="595"/>
      <c r="V30" s="665"/>
      <c r="W30" s="666"/>
      <c r="X30" s="666"/>
      <c r="Y30" s="666"/>
      <c r="Z30" s="666"/>
      <c r="AA30" s="666"/>
      <c r="AB30" s="666"/>
      <c r="AC30" s="666"/>
      <c r="AD30" s="666"/>
      <c r="AE30" s="667"/>
      <c r="AF30" s="58"/>
      <c r="AG30" s="58"/>
      <c r="AH30" s="84"/>
      <c r="BA30" s="368" t="e">
        <f>VLOOKUP(H47,Data!$FF$76:$FG$137,2,FALSE)</f>
        <v>#N/A</v>
      </c>
      <c r="BB30" s="66"/>
      <c r="BD30" s="66"/>
      <c r="BF30" s="66"/>
      <c r="BJ30" s="66"/>
      <c r="BK30" s="55"/>
      <c r="BV30" s="66"/>
      <c r="BW30" s="66"/>
      <c r="CA30" s="66"/>
      <c r="CF30" s="66"/>
      <c r="CG30" s="66"/>
      <c r="CJ30" s="66"/>
      <c r="CK30" s="66"/>
      <c r="CL30" s="66"/>
      <c r="CP30" s="294"/>
      <c r="CQ30" s="66"/>
      <c r="CR30" s="66"/>
      <c r="CS30" s="66"/>
      <c r="CT30" s="66"/>
      <c r="CU30" s="55"/>
      <c r="CV30" s="55"/>
      <c r="CW30" s="66"/>
      <c r="CY30" s="66"/>
      <c r="CZ30" s="66"/>
      <c r="DH30" s="66"/>
      <c r="DK30" s="66"/>
      <c r="DN30" s="55"/>
      <c r="DO30" s="55"/>
      <c r="DP30" s="55"/>
      <c r="EC30" s="66"/>
      <c r="ED30" s="66"/>
      <c r="EE30" s="66"/>
    </row>
    <row r="31" spans="1:199" ht="18" customHeight="1">
      <c r="A31" s="130">
        <v>6</v>
      </c>
      <c r="B31" s="609"/>
      <c r="C31" s="609"/>
      <c r="D31" s="609"/>
      <c r="E31" s="609"/>
      <c r="F31" s="604"/>
      <c r="G31" s="604"/>
      <c r="H31" s="604"/>
      <c r="I31" s="604"/>
      <c r="J31" s="605"/>
      <c r="K31" s="595"/>
      <c r="L31" s="595"/>
      <c r="M31" s="595"/>
      <c r="N31" s="595"/>
      <c r="O31" s="595"/>
      <c r="P31" s="595"/>
      <c r="Q31" s="595"/>
      <c r="R31" s="595"/>
      <c r="S31" s="595"/>
      <c r="T31" s="595"/>
      <c r="U31" s="595"/>
      <c r="V31" s="665"/>
      <c r="W31" s="666"/>
      <c r="X31" s="666"/>
      <c r="Y31" s="666"/>
      <c r="Z31" s="666"/>
      <c r="AA31" s="666"/>
      <c r="AB31" s="666"/>
      <c r="AC31" s="666"/>
      <c r="AD31" s="666"/>
      <c r="AE31" s="667"/>
      <c r="AF31" s="58"/>
      <c r="AG31" s="58"/>
      <c r="AH31" s="84"/>
      <c r="BA31" s="368" t="e">
        <f>VLOOKUP(H48,Data!$FF$76:$FG$137,2,FALSE)</f>
        <v>#N/A</v>
      </c>
      <c r="BB31" s="66"/>
      <c r="BD31" s="66"/>
      <c r="BF31" s="66"/>
      <c r="BJ31" s="66"/>
      <c r="BK31" s="55"/>
      <c r="BV31" s="66"/>
      <c r="BW31" s="66"/>
      <c r="CA31" s="66"/>
      <c r="CF31" s="66"/>
      <c r="CG31" s="66"/>
      <c r="CJ31" s="66"/>
      <c r="CK31" s="66"/>
      <c r="CL31" s="66"/>
      <c r="CP31" s="294"/>
      <c r="CQ31" s="66"/>
      <c r="CR31" s="66"/>
      <c r="CS31" s="66"/>
      <c r="CT31" s="66"/>
      <c r="CU31" s="55"/>
      <c r="CV31" s="55"/>
      <c r="CW31" s="66"/>
      <c r="CY31" s="66"/>
      <c r="CZ31" s="66"/>
      <c r="DH31" s="66"/>
      <c r="DK31" s="66"/>
      <c r="DN31" s="55"/>
      <c r="DO31" s="55"/>
      <c r="DP31" s="55"/>
      <c r="EC31" s="66"/>
      <c r="ED31" s="66"/>
      <c r="EE31" s="66"/>
    </row>
    <row r="32" spans="1:199" ht="18" customHeight="1">
      <c r="A32" s="130">
        <v>7</v>
      </c>
      <c r="B32" s="609"/>
      <c r="C32" s="609"/>
      <c r="D32" s="609"/>
      <c r="E32" s="609"/>
      <c r="F32" s="604"/>
      <c r="G32" s="604"/>
      <c r="H32" s="604"/>
      <c r="I32" s="604"/>
      <c r="J32" s="605"/>
      <c r="K32" s="595"/>
      <c r="L32" s="595"/>
      <c r="M32" s="595"/>
      <c r="N32" s="595"/>
      <c r="O32" s="595"/>
      <c r="P32" s="595"/>
      <c r="Q32" s="595"/>
      <c r="R32" s="595"/>
      <c r="S32" s="595"/>
      <c r="T32" s="595"/>
      <c r="U32" s="595"/>
      <c r="V32" s="665"/>
      <c r="W32" s="666"/>
      <c r="X32" s="666"/>
      <c r="Y32" s="666"/>
      <c r="Z32" s="666"/>
      <c r="AA32" s="666"/>
      <c r="AB32" s="666"/>
      <c r="AC32" s="666"/>
      <c r="AD32" s="666"/>
      <c r="AE32" s="667"/>
      <c r="AF32" s="58"/>
      <c r="AG32" s="58"/>
      <c r="AH32" s="84"/>
      <c r="BA32" s="368" t="e">
        <f>VLOOKUP(H49,Data!$FF$76:$FG$137,2,FALSE)</f>
        <v>#N/A</v>
      </c>
      <c r="BB32" s="66"/>
      <c r="BD32" s="66"/>
      <c r="BF32" s="66"/>
      <c r="BJ32" s="66"/>
      <c r="BK32" s="55"/>
      <c r="BV32" s="66"/>
      <c r="BW32" s="66"/>
      <c r="CA32" s="66"/>
      <c r="CF32" s="66"/>
      <c r="CG32" s="66"/>
      <c r="CJ32" s="66"/>
      <c r="CK32" s="66"/>
      <c r="CL32" s="66"/>
      <c r="CP32" s="294"/>
      <c r="CQ32" s="66"/>
      <c r="CR32" s="66"/>
      <c r="CS32" s="66"/>
      <c r="CT32" s="66"/>
      <c r="CU32" s="55"/>
      <c r="CV32" s="55"/>
      <c r="CW32" s="66"/>
      <c r="CY32" s="66"/>
      <c r="CZ32" s="66"/>
      <c r="DH32" s="66"/>
      <c r="DK32" s="66"/>
      <c r="DN32" s="55"/>
      <c r="DO32" s="55"/>
      <c r="DP32" s="55"/>
      <c r="EC32" s="66"/>
      <c r="ED32" s="66"/>
      <c r="EE32" s="66"/>
    </row>
    <row r="33" spans="1:135" ht="18" customHeight="1">
      <c r="A33" s="130">
        <v>8</v>
      </c>
      <c r="B33" s="609"/>
      <c r="C33" s="609"/>
      <c r="D33" s="609"/>
      <c r="E33" s="609"/>
      <c r="F33" s="604"/>
      <c r="G33" s="604"/>
      <c r="H33" s="604"/>
      <c r="I33" s="604"/>
      <c r="J33" s="605"/>
      <c r="K33" s="595"/>
      <c r="L33" s="595"/>
      <c r="M33" s="595"/>
      <c r="N33" s="595"/>
      <c r="O33" s="595"/>
      <c r="P33" s="595"/>
      <c r="Q33" s="595"/>
      <c r="R33" s="595"/>
      <c r="S33" s="595"/>
      <c r="T33" s="595"/>
      <c r="U33" s="595"/>
      <c r="V33" s="665"/>
      <c r="W33" s="666"/>
      <c r="X33" s="666"/>
      <c r="Y33" s="666"/>
      <c r="Z33" s="666"/>
      <c r="AA33" s="666"/>
      <c r="AB33" s="666"/>
      <c r="AC33" s="666"/>
      <c r="AD33" s="666"/>
      <c r="AE33" s="667"/>
      <c r="AF33" s="58"/>
      <c r="AG33" s="58"/>
      <c r="AH33" s="84"/>
      <c r="BA33" s="368" t="e">
        <f>VLOOKUP(H50,Data!$FF$76:$FG$137,2,FALSE)</f>
        <v>#N/A</v>
      </c>
      <c r="BB33" s="66"/>
      <c r="BD33" s="66"/>
      <c r="BF33" s="66"/>
      <c r="BJ33" s="66"/>
      <c r="BK33" s="55"/>
      <c r="BV33" s="66"/>
      <c r="BW33" s="66"/>
      <c r="CA33" s="66"/>
      <c r="CF33" s="66"/>
      <c r="CG33" s="66"/>
      <c r="CJ33" s="66"/>
      <c r="CK33" s="66"/>
      <c r="CL33" s="66"/>
      <c r="CP33" s="294"/>
      <c r="CQ33" s="66"/>
      <c r="CR33" s="66"/>
      <c r="CS33" s="66"/>
      <c r="CT33" s="66"/>
      <c r="CU33" s="55"/>
      <c r="CV33" s="55"/>
      <c r="CW33" s="66"/>
      <c r="CY33" s="66"/>
      <c r="CZ33" s="66"/>
      <c r="DH33" s="66"/>
      <c r="DK33" s="66"/>
      <c r="DN33" s="55"/>
      <c r="DO33" s="55"/>
      <c r="DP33" s="55"/>
      <c r="EC33" s="66"/>
      <c r="ED33" s="66"/>
      <c r="EE33" s="66"/>
    </row>
    <row r="34" spans="1:135" ht="18" customHeight="1">
      <c r="A34" s="130">
        <v>9</v>
      </c>
      <c r="B34" s="609"/>
      <c r="C34" s="609"/>
      <c r="D34" s="609"/>
      <c r="E34" s="609"/>
      <c r="F34" s="604"/>
      <c r="G34" s="604"/>
      <c r="H34" s="604"/>
      <c r="I34" s="604"/>
      <c r="J34" s="605"/>
      <c r="K34" s="595"/>
      <c r="L34" s="595"/>
      <c r="M34" s="595"/>
      <c r="N34" s="595"/>
      <c r="O34" s="595"/>
      <c r="P34" s="595"/>
      <c r="Q34" s="595"/>
      <c r="R34" s="595"/>
      <c r="S34" s="595"/>
      <c r="T34" s="595"/>
      <c r="U34" s="595"/>
      <c r="V34" s="665"/>
      <c r="W34" s="666"/>
      <c r="X34" s="666"/>
      <c r="Y34" s="666"/>
      <c r="Z34" s="666"/>
      <c r="AA34" s="666"/>
      <c r="AB34" s="666"/>
      <c r="AC34" s="666"/>
      <c r="AD34" s="666"/>
      <c r="AE34" s="667"/>
      <c r="AF34" s="58"/>
      <c r="AG34" s="58"/>
      <c r="AH34" s="84"/>
      <c r="BA34" s="368" t="e">
        <f>VLOOKUP(H51,Data!$FF$76:$FG$137,2,FALSE)</f>
        <v>#N/A</v>
      </c>
      <c r="BB34" s="66"/>
      <c r="BD34" s="66"/>
      <c r="BF34" s="66"/>
      <c r="BJ34" s="66"/>
      <c r="BK34" s="55"/>
      <c r="BV34" s="66"/>
      <c r="BW34" s="66"/>
      <c r="CA34" s="66"/>
      <c r="CF34" s="66"/>
      <c r="CG34" s="66"/>
      <c r="CJ34" s="66"/>
      <c r="CK34" s="66"/>
      <c r="CL34" s="66"/>
      <c r="CP34" s="294"/>
      <c r="CQ34" s="66"/>
      <c r="CR34" s="66"/>
      <c r="CS34" s="66"/>
      <c r="CT34" s="66"/>
      <c r="CU34" s="55"/>
      <c r="CV34" s="55"/>
      <c r="CW34" s="66"/>
      <c r="CY34" s="66"/>
      <c r="CZ34" s="66"/>
      <c r="DH34" s="66"/>
      <c r="DK34" s="66"/>
      <c r="DN34" s="55"/>
      <c r="DO34" s="55"/>
      <c r="DP34" s="55"/>
      <c r="EC34" s="66"/>
      <c r="ED34" s="66"/>
      <c r="EE34" s="66"/>
    </row>
    <row r="35" spans="1:135" ht="18" customHeight="1">
      <c r="A35" s="130">
        <v>10</v>
      </c>
      <c r="B35" s="609"/>
      <c r="C35" s="609"/>
      <c r="D35" s="609"/>
      <c r="E35" s="609"/>
      <c r="F35" s="604"/>
      <c r="G35" s="604"/>
      <c r="H35" s="604"/>
      <c r="I35" s="604"/>
      <c r="J35" s="605"/>
      <c r="K35" s="595"/>
      <c r="L35" s="595"/>
      <c r="M35" s="595"/>
      <c r="N35" s="595"/>
      <c r="O35" s="595"/>
      <c r="P35" s="595"/>
      <c r="Q35" s="595"/>
      <c r="R35" s="595"/>
      <c r="S35" s="595"/>
      <c r="T35" s="595"/>
      <c r="U35" s="595"/>
      <c r="V35" s="665"/>
      <c r="W35" s="666"/>
      <c r="X35" s="666"/>
      <c r="Y35" s="666"/>
      <c r="Z35" s="666"/>
      <c r="AA35" s="666"/>
      <c r="AB35" s="666"/>
      <c r="AC35" s="666"/>
      <c r="AD35" s="666"/>
      <c r="AE35" s="667"/>
      <c r="AF35" s="58"/>
      <c r="AG35" s="58"/>
      <c r="AH35" s="84"/>
      <c r="BA35" s="368" t="e">
        <f>VLOOKUP(H52,Data!$FF$76:$FG$137,2,FALSE)</f>
        <v>#N/A</v>
      </c>
      <c r="BB35" s="66"/>
      <c r="BD35" s="66"/>
      <c r="BF35" s="66"/>
      <c r="BJ35" s="66"/>
      <c r="BK35" s="55"/>
      <c r="BV35" s="66"/>
      <c r="BW35" s="66"/>
      <c r="CA35" s="66"/>
      <c r="CF35" s="66"/>
      <c r="CG35" s="66"/>
      <c r="CJ35" s="66"/>
      <c r="CK35" s="66"/>
      <c r="CL35" s="66"/>
      <c r="CP35" s="294"/>
      <c r="CQ35" s="66"/>
      <c r="CR35" s="66"/>
      <c r="CS35" s="66"/>
      <c r="CT35" s="66"/>
      <c r="CU35" s="55"/>
      <c r="CV35" s="55"/>
      <c r="CW35" s="66"/>
      <c r="CY35" s="66"/>
      <c r="CZ35" s="66"/>
      <c r="DH35" s="66"/>
      <c r="DK35" s="66"/>
      <c r="DN35" s="55"/>
      <c r="DO35" s="55"/>
      <c r="DP35" s="55"/>
      <c r="EC35" s="66"/>
      <c r="ED35" s="66"/>
      <c r="EE35" s="66"/>
    </row>
    <row r="36" spans="1:135" ht="18" customHeight="1">
      <c r="A36" s="130">
        <v>11</v>
      </c>
      <c r="B36" s="609"/>
      <c r="C36" s="609"/>
      <c r="D36" s="609"/>
      <c r="E36" s="609"/>
      <c r="F36" s="604"/>
      <c r="G36" s="604"/>
      <c r="H36" s="604"/>
      <c r="I36" s="604"/>
      <c r="J36" s="605"/>
      <c r="K36" s="595"/>
      <c r="L36" s="595"/>
      <c r="M36" s="595"/>
      <c r="N36" s="595"/>
      <c r="O36" s="595"/>
      <c r="P36" s="595"/>
      <c r="Q36" s="595"/>
      <c r="R36" s="595"/>
      <c r="S36" s="595"/>
      <c r="T36" s="595"/>
      <c r="U36" s="595"/>
      <c r="V36" s="665"/>
      <c r="W36" s="666"/>
      <c r="X36" s="666"/>
      <c r="Y36" s="666"/>
      <c r="Z36" s="666"/>
      <c r="AA36" s="666"/>
      <c r="AB36" s="666"/>
      <c r="AC36" s="666"/>
      <c r="AD36" s="666"/>
      <c r="AE36" s="667"/>
      <c r="AF36" s="58"/>
      <c r="AG36" s="58"/>
      <c r="AH36" s="84"/>
      <c r="BB36" s="66"/>
      <c r="BD36" s="66"/>
      <c r="BF36" s="66"/>
      <c r="BJ36" s="66"/>
      <c r="BK36" s="55"/>
      <c r="BV36" s="66"/>
      <c r="BW36" s="66"/>
      <c r="CA36" s="66"/>
      <c r="CF36" s="66"/>
      <c r="CG36" s="66"/>
      <c r="CJ36" s="66"/>
      <c r="CK36" s="66"/>
      <c r="CL36" s="66"/>
      <c r="CP36" s="294"/>
      <c r="CQ36" s="66"/>
      <c r="CR36" s="66"/>
      <c r="CS36" s="66"/>
      <c r="CT36" s="66"/>
      <c r="CU36" s="55"/>
      <c r="CV36" s="55"/>
      <c r="CW36" s="66"/>
      <c r="CY36" s="66"/>
      <c r="CZ36" s="66"/>
      <c r="DH36" s="66"/>
      <c r="DK36" s="66"/>
      <c r="DN36" s="55"/>
      <c r="DO36" s="55"/>
      <c r="DP36" s="55"/>
      <c r="EC36" s="66"/>
      <c r="ED36" s="66"/>
      <c r="EE36" s="66"/>
    </row>
    <row r="37" spans="1:135" ht="18" customHeight="1">
      <c r="A37" s="130">
        <v>12</v>
      </c>
      <c r="B37" s="609"/>
      <c r="C37" s="609"/>
      <c r="D37" s="609"/>
      <c r="E37" s="609"/>
      <c r="F37" s="604"/>
      <c r="G37" s="604"/>
      <c r="H37" s="604"/>
      <c r="I37" s="604"/>
      <c r="J37" s="605"/>
      <c r="K37" s="595"/>
      <c r="L37" s="595"/>
      <c r="M37" s="595"/>
      <c r="N37" s="595"/>
      <c r="O37" s="595"/>
      <c r="P37" s="595"/>
      <c r="Q37" s="595"/>
      <c r="R37" s="595"/>
      <c r="S37" s="595"/>
      <c r="T37" s="595"/>
      <c r="U37" s="595"/>
      <c r="V37" s="665"/>
      <c r="W37" s="666"/>
      <c r="X37" s="666"/>
      <c r="Y37" s="666"/>
      <c r="Z37" s="666"/>
      <c r="AA37" s="666"/>
      <c r="AB37" s="666"/>
      <c r="AC37" s="666"/>
      <c r="AD37" s="666"/>
      <c r="AE37" s="667"/>
      <c r="AF37" s="58"/>
      <c r="AG37" s="58"/>
      <c r="AH37" s="84"/>
      <c r="BB37" s="66"/>
      <c r="BD37" s="66"/>
      <c r="BF37" s="66"/>
      <c r="BJ37" s="66"/>
      <c r="BK37" s="55"/>
      <c r="BV37" s="66"/>
      <c r="BW37" s="66"/>
      <c r="CA37" s="66"/>
      <c r="CF37" s="66"/>
      <c r="CG37" s="66"/>
      <c r="CJ37" s="66"/>
      <c r="CK37" s="66"/>
      <c r="CL37" s="66"/>
      <c r="CP37" s="294"/>
      <c r="CQ37" s="66"/>
      <c r="CR37" s="66"/>
      <c r="CS37" s="66"/>
      <c r="CT37" s="66"/>
      <c r="CU37" s="55"/>
      <c r="CV37" s="55"/>
      <c r="CW37" s="66"/>
      <c r="CY37" s="66"/>
      <c r="CZ37" s="66"/>
      <c r="DH37" s="66"/>
      <c r="DK37" s="66"/>
      <c r="DN37" s="55"/>
      <c r="DO37" s="55"/>
      <c r="DP37" s="55"/>
      <c r="EC37" s="66"/>
      <c r="ED37" s="66"/>
      <c r="EE37" s="66"/>
    </row>
    <row r="38" spans="1:135" ht="18" customHeight="1">
      <c r="A38" s="130">
        <v>13</v>
      </c>
      <c r="B38" s="609"/>
      <c r="C38" s="609"/>
      <c r="D38" s="609"/>
      <c r="E38" s="609"/>
      <c r="F38" s="604"/>
      <c r="G38" s="604"/>
      <c r="H38" s="604"/>
      <c r="I38" s="604"/>
      <c r="J38" s="605"/>
      <c r="K38" s="595"/>
      <c r="L38" s="595"/>
      <c r="M38" s="595"/>
      <c r="N38" s="595"/>
      <c r="O38" s="595"/>
      <c r="P38" s="595"/>
      <c r="Q38" s="595"/>
      <c r="R38" s="595"/>
      <c r="S38" s="595"/>
      <c r="T38" s="595"/>
      <c r="U38" s="595"/>
      <c r="V38" s="665"/>
      <c r="W38" s="666"/>
      <c r="X38" s="666"/>
      <c r="Y38" s="666"/>
      <c r="Z38" s="666"/>
      <c r="AA38" s="666"/>
      <c r="AB38" s="666"/>
      <c r="AC38" s="666"/>
      <c r="AD38" s="666"/>
      <c r="AE38" s="667"/>
      <c r="AF38" s="58"/>
      <c r="AG38" s="58"/>
      <c r="AH38" s="84"/>
      <c r="BB38" s="66"/>
      <c r="BD38" s="66"/>
      <c r="BF38" s="66"/>
      <c r="BJ38" s="66"/>
      <c r="BK38" s="55"/>
      <c r="BV38" s="66"/>
      <c r="BW38" s="66"/>
      <c r="CA38" s="66"/>
      <c r="CF38" s="66"/>
      <c r="CG38" s="66"/>
      <c r="CJ38" s="66"/>
      <c r="CK38" s="66"/>
      <c r="CL38" s="66"/>
      <c r="CP38" s="294"/>
      <c r="CQ38" s="66"/>
      <c r="CR38" s="66"/>
      <c r="CS38" s="66"/>
      <c r="CT38" s="66"/>
      <c r="CU38" s="55"/>
      <c r="CV38" s="55"/>
      <c r="CW38" s="66"/>
      <c r="CY38" s="66"/>
      <c r="CZ38" s="66"/>
      <c r="DH38" s="66"/>
      <c r="DK38" s="66"/>
      <c r="DN38" s="55"/>
      <c r="DO38" s="55"/>
      <c r="DP38" s="55"/>
      <c r="EC38" s="66"/>
      <c r="ED38" s="66"/>
      <c r="EE38" s="66"/>
    </row>
    <row r="39" spans="1:135" ht="18" customHeight="1">
      <c r="A39" s="130">
        <v>14</v>
      </c>
      <c r="B39" s="609"/>
      <c r="C39" s="609"/>
      <c r="D39" s="609"/>
      <c r="E39" s="609"/>
      <c r="F39" s="604"/>
      <c r="G39" s="604"/>
      <c r="H39" s="604"/>
      <c r="I39" s="604"/>
      <c r="J39" s="605"/>
      <c r="K39" s="595"/>
      <c r="L39" s="595"/>
      <c r="M39" s="595"/>
      <c r="N39" s="595"/>
      <c r="O39" s="595"/>
      <c r="P39" s="595"/>
      <c r="Q39" s="595"/>
      <c r="R39" s="595"/>
      <c r="S39" s="595"/>
      <c r="T39" s="595"/>
      <c r="U39" s="595"/>
      <c r="V39" s="665"/>
      <c r="W39" s="666"/>
      <c r="X39" s="666"/>
      <c r="Y39" s="666"/>
      <c r="Z39" s="666"/>
      <c r="AA39" s="666"/>
      <c r="AB39" s="666"/>
      <c r="AC39" s="666"/>
      <c r="AD39" s="666"/>
      <c r="AE39" s="667"/>
      <c r="AF39" s="58"/>
      <c r="AG39" s="58"/>
      <c r="AH39" s="84"/>
      <c r="BB39" s="66"/>
      <c r="BD39" s="66"/>
      <c r="BF39" s="66"/>
      <c r="BJ39" s="66"/>
      <c r="BK39" s="55"/>
      <c r="BV39" s="66"/>
      <c r="BW39" s="66"/>
      <c r="CA39" s="66"/>
      <c r="CF39" s="66"/>
      <c r="CG39" s="66"/>
      <c r="CJ39" s="66"/>
      <c r="CK39" s="66"/>
      <c r="CL39" s="66"/>
      <c r="CP39" s="294"/>
      <c r="CQ39" s="66"/>
      <c r="CR39" s="66"/>
      <c r="CS39" s="66"/>
      <c r="CT39" s="66"/>
      <c r="CU39" s="55"/>
      <c r="CV39" s="55"/>
      <c r="CW39" s="66"/>
      <c r="CY39" s="66"/>
      <c r="CZ39" s="66"/>
      <c r="DH39" s="66"/>
      <c r="DK39" s="66"/>
      <c r="DN39" s="55"/>
      <c r="DO39" s="55"/>
      <c r="DP39" s="55"/>
      <c r="EC39" s="66"/>
      <c r="ED39" s="66"/>
      <c r="EE39" s="66"/>
    </row>
    <row r="40" spans="1:135" ht="18" customHeight="1" thickBot="1">
      <c r="A40" s="131">
        <v>15</v>
      </c>
      <c r="B40" s="609"/>
      <c r="C40" s="609"/>
      <c r="D40" s="609"/>
      <c r="E40" s="609"/>
      <c r="F40" s="604"/>
      <c r="G40" s="604"/>
      <c r="H40" s="604"/>
      <c r="I40" s="604"/>
      <c r="J40" s="605"/>
      <c r="K40" s="682"/>
      <c r="L40" s="682"/>
      <c r="M40" s="682"/>
      <c r="N40" s="682"/>
      <c r="O40" s="682"/>
      <c r="P40" s="682"/>
      <c r="Q40" s="682"/>
      <c r="R40" s="682"/>
      <c r="S40" s="682"/>
      <c r="T40" s="682"/>
      <c r="U40" s="682"/>
      <c r="V40" s="668"/>
      <c r="W40" s="669"/>
      <c r="X40" s="669"/>
      <c r="Y40" s="669"/>
      <c r="Z40" s="669"/>
      <c r="AA40" s="669"/>
      <c r="AB40" s="669"/>
      <c r="AC40" s="669"/>
      <c r="AD40" s="669"/>
      <c r="AE40" s="670"/>
      <c r="AF40" s="58"/>
      <c r="AG40" s="58"/>
      <c r="BB40" s="66"/>
      <c r="BD40" s="66"/>
      <c r="BF40" s="66"/>
      <c r="BJ40" s="66"/>
      <c r="BK40" s="55"/>
      <c r="BV40" s="66"/>
      <c r="BW40" s="66"/>
      <c r="CA40" s="66"/>
      <c r="CF40" s="66"/>
      <c r="CG40" s="66"/>
      <c r="CJ40" s="66"/>
      <c r="CK40" s="66"/>
      <c r="CL40" s="66"/>
      <c r="CP40" s="294"/>
      <c r="CQ40" s="66"/>
      <c r="CR40" s="66"/>
      <c r="CS40" s="66"/>
      <c r="CT40" s="66"/>
      <c r="CU40" s="55"/>
      <c r="CV40" s="55"/>
      <c r="CW40" s="66"/>
      <c r="CY40" s="66"/>
      <c r="CZ40" s="66"/>
      <c r="DH40" s="66"/>
      <c r="DK40" s="66"/>
      <c r="DN40" s="55"/>
      <c r="DO40" s="55"/>
      <c r="DP40" s="55"/>
      <c r="EC40" s="66"/>
      <c r="ED40" s="66"/>
      <c r="EE40" s="66"/>
    </row>
    <row r="41" spans="1:135" ht="16.5" thickTop="1" thickBot="1">
      <c r="A41" s="85"/>
      <c r="B41" s="606" t="s">
        <v>961</v>
      </c>
      <c r="C41" s="606"/>
      <c r="D41" s="606"/>
      <c r="E41" s="606"/>
      <c r="F41" s="606"/>
      <c r="G41" s="606"/>
      <c r="H41" s="606"/>
      <c r="I41" s="606"/>
      <c r="J41" s="171"/>
      <c r="K41" s="171"/>
      <c r="L41" s="171"/>
      <c r="M41" s="171"/>
      <c r="N41" s="171"/>
      <c r="O41" s="171"/>
      <c r="P41" s="171"/>
      <c r="Q41" s="171"/>
      <c r="R41" s="171"/>
      <c r="S41" s="128"/>
      <c r="T41" s="128"/>
      <c r="U41" s="128"/>
      <c r="V41" s="128"/>
      <c r="W41" s="128"/>
      <c r="X41" s="128"/>
      <c r="Y41" s="58"/>
      <c r="Z41" s="58"/>
      <c r="AA41" s="58"/>
      <c r="AB41" s="58"/>
      <c r="AC41" s="58"/>
      <c r="AD41" s="58"/>
      <c r="AE41" s="58"/>
      <c r="AF41" s="58"/>
      <c r="AG41" s="58"/>
      <c r="AH41" s="58"/>
      <c r="BB41" s="66"/>
      <c r="BD41" s="66"/>
      <c r="BF41" s="66"/>
      <c r="BJ41" s="66"/>
      <c r="BK41" s="55"/>
      <c r="BV41" s="66"/>
      <c r="BW41" s="66"/>
      <c r="CA41" s="66"/>
      <c r="CF41" s="66"/>
      <c r="CG41" s="66"/>
      <c r="CJ41" s="66"/>
      <c r="CK41" s="66"/>
      <c r="CL41" s="66"/>
      <c r="CP41" s="294"/>
      <c r="CQ41" s="66"/>
      <c r="CR41" s="66"/>
      <c r="CS41" s="66"/>
      <c r="CT41" s="66"/>
      <c r="CU41" s="55"/>
      <c r="CV41" s="55"/>
      <c r="CW41" s="66"/>
      <c r="CY41" s="66"/>
      <c r="CZ41" s="66"/>
      <c r="DH41" s="66"/>
      <c r="DK41" s="66"/>
      <c r="DN41" s="55"/>
      <c r="DO41" s="55"/>
      <c r="DP41" s="55"/>
      <c r="EC41" s="66"/>
      <c r="ED41" s="66"/>
      <c r="EE41" s="66"/>
    </row>
    <row r="42" spans="1:135" s="193" customFormat="1" ht="30.75" thickBot="1">
      <c r="A42" s="218" t="s">
        <v>962</v>
      </c>
      <c r="B42" s="219" t="s">
        <v>726</v>
      </c>
      <c r="C42" s="220" t="s">
        <v>733</v>
      </c>
      <c r="D42" s="659" t="s">
        <v>873</v>
      </c>
      <c r="E42" s="659"/>
      <c r="F42" s="651" t="s">
        <v>728</v>
      </c>
      <c r="G42" s="652"/>
      <c r="H42" s="652"/>
      <c r="I42" s="652"/>
      <c r="J42" s="653"/>
      <c r="K42" s="709" t="s">
        <v>150</v>
      </c>
      <c r="L42" s="709"/>
      <c r="M42" s="221" t="s">
        <v>726</v>
      </c>
      <c r="N42" s="586" t="s">
        <v>873</v>
      </c>
      <c r="O42" s="587"/>
      <c r="P42" s="588"/>
      <c r="Q42" s="610" t="s">
        <v>727</v>
      </c>
      <c r="R42" s="610"/>
      <c r="S42" s="610"/>
      <c r="T42" s="610"/>
      <c r="U42" s="588"/>
      <c r="V42" s="641" t="s">
        <v>150</v>
      </c>
      <c r="W42" s="641"/>
      <c r="X42" s="641"/>
      <c r="Y42" s="641"/>
      <c r="Z42" s="641"/>
      <c r="AA42" s="642" t="s">
        <v>777</v>
      </c>
      <c r="AB42" s="642"/>
      <c r="AC42" s="642"/>
      <c r="AD42" s="643"/>
      <c r="AE42" s="644"/>
      <c r="AF42" s="222"/>
      <c r="AG42" s="222"/>
      <c r="AH42" s="222"/>
      <c r="CP42" s="367"/>
    </row>
    <row r="43" spans="1:135" ht="15" customHeight="1" thickTop="1">
      <c r="A43" s="141">
        <v>1</v>
      </c>
      <c r="B43" s="216"/>
      <c r="C43" s="145"/>
      <c r="D43" s="607"/>
      <c r="E43" s="607"/>
      <c r="F43" s="654"/>
      <c r="G43" s="655"/>
      <c r="H43" s="655"/>
      <c r="I43" s="655"/>
      <c r="J43" s="656"/>
      <c r="K43" s="658"/>
      <c r="L43" s="658"/>
      <c r="M43" s="143"/>
      <c r="N43" s="583"/>
      <c r="O43" s="584"/>
      <c r="P43" s="585"/>
      <c r="Q43" s="580"/>
      <c r="R43" s="581"/>
      <c r="S43" s="581"/>
      <c r="T43" s="581"/>
      <c r="U43" s="582"/>
      <c r="V43" s="649"/>
      <c r="W43" s="649"/>
      <c r="X43" s="649"/>
      <c r="Y43" s="649"/>
      <c r="Z43" s="649"/>
      <c r="AA43" s="645"/>
      <c r="AB43" s="646"/>
      <c r="AC43" s="646"/>
      <c r="AD43" s="647"/>
      <c r="AE43" s="648"/>
      <c r="AF43" s="58"/>
      <c r="AG43" s="58"/>
      <c r="AH43" s="58"/>
      <c r="AM43" s="55" t="b">
        <f>IF(D43=Data!$FB$74,Data!$FF$158,IF(D43=Data!$FB$75,Data!$FE$158))</f>
        <v>0</v>
      </c>
      <c r="AO43" s="55" t="b">
        <f>IF(N43=Data!$HX$94,Data!$HX$95,IF(N43=Data!$HY$94,Data!$HY$95))</f>
        <v>0</v>
      </c>
      <c r="AV43" s="86"/>
      <c r="BA43" s="294" t="str">
        <f>IF(OR(AND(D43="Timber",H43="Large Z Frame")),"NonStandard", "Standard" )</f>
        <v>Standard</v>
      </c>
      <c r="BB43" s="294" t="b">
        <f>IF(D43=Data!$KC$1,Data!$KC$2,IF(D43=Data!$KD$1,Data!$KD$2))</f>
        <v>0</v>
      </c>
      <c r="BC43" s="294" t="b">
        <f>IF(D43="Timber",Data!$IX$2,IF(D43="Fauxwood",Data!$IY$2))</f>
        <v>0</v>
      </c>
      <c r="BD43" s="66"/>
      <c r="BF43" s="369" t="e">
        <f>VLOOKUP(Q43,Data!$HX$56:$HY$89,2,FALSE)</f>
        <v>#N/A</v>
      </c>
      <c r="BJ43" s="66"/>
      <c r="BK43" s="55"/>
      <c r="BV43" s="66"/>
      <c r="BW43" s="66"/>
      <c r="CA43" s="66"/>
      <c r="CF43" s="66"/>
      <c r="CG43" s="66"/>
      <c r="CJ43" s="66"/>
      <c r="CK43" s="66"/>
      <c r="CL43" s="66"/>
      <c r="CP43" s="294"/>
      <c r="CQ43" s="66"/>
      <c r="CR43" s="66"/>
      <c r="CS43" s="66"/>
      <c r="CT43" s="66"/>
      <c r="CU43" s="55"/>
      <c r="CV43" s="55"/>
      <c r="CW43" s="66"/>
      <c r="CY43" s="66"/>
      <c r="CZ43" s="66"/>
      <c r="DH43" s="66"/>
      <c r="DK43" s="66"/>
      <c r="DN43" s="55"/>
      <c r="DO43" s="55"/>
      <c r="DP43" s="55"/>
      <c r="EC43" s="66"/>
      <c r="ED43" s="66"/>
      <c r="EE43" s="66"/>
    </row>
    <row r="44" spans="1:135" ht="15" customHeight="1">
      <c r="A44" s="52">
        <v>2</v>
      </c>
      <c r="B44" s="142"/>
      <c r="C44" s="144"/>
      <c r="D44" s="608"/>
      <c r="E44" s="608"/>
      <c r="F44" s="577"/>
      <c r="G44" s="578"/>
      <c r="H44" s="578"/>
      <c r="I44" s="578"/>
      <c r="J44" s="579"/>
      <c r="K44" s="596"/>
      <c r="L44" s="596"/>
      <c r="M44" s="142"/>
      <c r="N44" s="597"/>
      <c r="O44" s="598"/>
      <c r="P44" s="599"/>
      <c r="Q44" s="577"/>
      <c r="R44" s="578"/>
      <c r="S44" s="578"/>
      <c r="T44" s="578"/>
      <c r="U44" s="579"/>
      <c r="V44" s="636"/>
      <c r="W44" s="636"/>
      <c r="X44" s="636"/>
      <c r="Y44" s="636"/>
      <c r="Z44" s="636"/>
      <c r="AA44" s="637"/>
      <c r="AB44" s="638"/>
      <c r="AC44" s="638"/>
      <c r="AD44" s="639"/>
      <c r="AE44" s="640"/>
      <c r="AF44" s="58"/>
      <c r="AG44" s="58"/>
      <c r="AH44" s="58"/>
      <c r="AM44" s="55" t="b">
        <f>IF(D44=Data!$FB$74,Data!$FF$158,IF(D44=Data!$FB$75,Data!$FE$158))</f>
        <v>0</v>
      </c>
      <c r="AO44" s="55" t="b">
        <f>IF(N44=Data!$HX$94,Data!$HX$95,IF(N44=Data!$HY$94,Data!$HY$95))</f>
        <v>0</v>
      </c>
      <c r="AV44" s="86"/>
      <c r="BA44" s="294" t="str">
        <f>IF(OR(AND(D44="Timber",H44="Large Z Frame")),"NonStandard", "Standard" )</f>
        <v>Standard</v>
      </c>
      <c r="BB44" s="294" t="b">
        <f>IF(D44=Data!$KC$1,Data!$KC$2,IF(D44=Data!$KD$1,Data!$KD$2))</f>
        <v>0</v>
      </c>
      <c r="BC44" s="294" t="b">
        <f>IF(D44="Timber",Data!$IX$2,IF(D44="Fauxwood",Data!$IY$2))</f>
        <v>0</v>
      </c>
      <c r="BD44" s="66"/>
      <c r="BF44" s="369" t="e">
        <f>VLOOKUP(Q44,Data!$HX$56:$HY$89,2,FALSE)</f>
        <v>#N/A</v>
      </c>
      <c r="BJ44" s="66"/>
      <c r="BK44" s="55"/>
      <c r="BV44" s="66"/>
      <c r="BW44" s="66"/>
      <c r="CA44" s="66"/>
      <c r="CF44" s="66"/>
      <c r="CG44" s="66"/>
      <c r="CJ44" s="66"/>
      <c r="CK44" s="66"/>
      <c r="CL44" s="66"/>
      <c r="CP44" s="294"/>
      <c r="CQ44" s="66"/>
      <c r="CR44" s="66"/>
      <c r="CS44" s="66"/>
      <c r="CT44" s="66"/>
      <c r="CU44" s="55"/>
      <c r="CV44" s="55"/>
      <c r="CW44" s="66"/>
      <c r="CY44" s="66"/>
      <c r="CZ44" s="66"/>
      <c r="DH44" s="66"/>
      <c r="DK44" s="66"/>
      <c r="DN44" s="55"/>
      <c r="DO44" s="55"/>
      <c r="DP44" s="55"/>
      <c r="EC44" s="66"/>
      <c r="ED44" s="66"/>
      <c r="EE44" s="66"/>
    </row>
    <row r="45" spans="1:135" ht="15" customHeight="1">
      <c r="A45" s="52">
        <v>3</v>
      </c>
      <c r="B45" s="142"/>
      <c r="C45" s="144"/>
      <c r="D45" s="608"/>
      <c r="E45" s="608"/>
      <c r="F45" s="577"/>
      <c r="G45" s="578"/>
      <c r="H45" s="578"/>
      <c r="I45" s="578"/>
      <c r="J45" s="579"/>
      <c r="K45" s="596"/>
      <c r="L45" s="596"/>
      <c r="M45" s="142"/>
      <c r="N45" s="597"/>
      <c r="O45" s="598"/>
      <c r="P45" s="599"/>
      <c r="Q45" s="577"/>
      <c r="R45" s="578"/>
      <c r="S45" s="578"/>
      <c r="T45" s="578"/>
      <c r="U45" s="579"/>
      <c r="V45" s="636"/>
      <c r="W45" s="636"/>
      <c r="X45" s="636"/>
      <c r="Y45" s="636"/>
      <c r="Z45" s="636"/>
      <c r="AA45" s="637"/>
      <c r="AB45" s="638"/>
      <c r="AC45" s="638"/>
      <c r="AD45" s="639"/>
      <c r="AE45" s="640"/>
      <c r="AF45" s="58"/>
      <c r="AG45" s="58"/>
      <c r="AH45" s="58"/>
      <c r="AM45" s="55" t="b">
        <f>IF(D45=Data!$FB$74,Data!$FF$158,IF(D45=Data!$FB$75,Data!$FE$158))</f>
        <v>0</v>
      </c>
      <c r="AO45" s="55" t="b">
        <f>IF(N45=Data!$HX$94,Data!$HX$95,IF(N45=Data!$HY$94,Data!$HY$95))</f>
        <v>0</v>
      </c>
      <c r="AV45" s="86"/>
      <c r="BA45" s="294" t="str">
        <f>IF(OR(AND(D45="Timber",F45="Large Z Frame")),"NonStandard", "Standard" )</f>
        <v>Standard</v>
      </c>
      <c r="BB45" s="294" t="b">
        <f>IF(D45=Data!$KC$1,Data!$KC$2,IF(D45=Data!$KD$1,Data!$KD$2))</f>
        <v>0</v>
      </c>
      <c r="BC45" s="294" t="b">
        <f>IF(D45="Timber",Data!$IX$2,IF(D45="Fauxwood",Data!$IY$2))</f>
        <v>0</v>
      </c>
      <c r="BD45" s="66"/>
      <c r="BF45" s="369" t="e">
        <f>VLOOKUP(Q45,Data!$HX$56:$HY$89,2,FALSE)</f>
        <v>#N/A</v>
      </c>
      <c r="BJ45" s="66"/>
      <c r="BK45" s="55"/>
      <c r="BV45" s="66"/>
      <c r="BW45" s="66"/>
      <c r="CA45" s="66"/>
      <c r="CF45" s="66"/>
      <c r="CG45" s="66"/>
      <c r="CJ45" s="66"/>
      <c r="CK45" s="66"/>
      <c r="CL45" s="66"/>
      <c r="CP45" s="294"/>
      <c r="CQ45" s="66"/>
      <c r="CR45" s="66"/>
      <c r="CS45" s="66"/>
      <c r="CT45" s="66"/>
      <c r="CU45" s="55"/>
      <c r="CV45" s="55"/>
      <c r="CW45" s="66"/>
      <c r="CY45" s="66"/>
      <c r="CZ45" s="66"/>
      <c r="DH45" s="66"/>
      <c r="DK45" s="66"/>
      <c r="DN45" s="55"/>
      <c r="DO45" s="55"/>
      <c r="DP45" s="55"/>
      <c r="EC45" s="66"/>
      <c r="ED45" s="66"/>
      <c r="EE45" s="66"/>
    </row>
    <row r="46" spans="1:135" ht="15" customHeight="1">
      <c r="A46" s="52">
        <v>4</v>
      </c>
      <c r="B46" s="142"/>
      <c r="C46" s="144"/>
      <c r="D46" s="608"/>
      <c r="E46" s="608"/>
      <c r="F46" s="577"/>
      <c r="G46" s="578"/>
      <c r="H46" s="578"/>
      <c r="I46" s="578"/>
      <c r="J46" s="579"/>
      <c r="K46" s="596"/>
      <c r="L46" s="596"/>
      <c r="M46" s="142"/>
      <c r="N46" s="597"/>
      <c r="O46" s="598"/>
      <c r="P46" s="599"/>
      <c r="Q46" s="577"/>
      <c r="R46" s="578"/>
      <c r="S46" s="578"/>
      <c r="T46" s="578"/>
      <c r="U46" s="579"/>
      <c r="V46" s="636"/>
      <c r="W46" s="636"/>
      <c r="X46" s="636"/>
      <c r="Y46" s="636"/>
      <c r="Z46" s="636"/>
      <c r="AA46" s="637"/>
      <c r="AB46" s="638"/>
      <c r="AC46" s="638"/>
      <c r="AD46" s="639"/>
      <c r="AE46" s="640"/>
      <c r="AF46" s="58"/>
      <c r="AG46" s="58"/>
      <c r="AH46" s="58"/>
      <c r="AM46" s="55" t="b">
        <f>IF(D46=Data!$FB$74,Data!$FF$158,IF(D46=Data!$FB$75,Data!$FE$158))</f>
        <v>0</v>
      </c>
      <c r="AO46" s="55" t="b">
        <f>IF(N46=Data!$HX$94,Data!$HX$95,IF(N46=Data!$HY$94,Data!$HY$95))</f>
        <v>0</v>
      </c>
      <c r="AV46" s="86"/>
      <c r="BA46" s="294" t="str">
        <f t="shared" ref="BA46:BA52" si="63">IF(OR(AND(D46="Timber",H46="Large Z Frame")),"NonStandard", "Standard" )</f>
        <v>Standard</v>
      </c>
      <c r="BB46" s="294" t="b">
        <f>IF(D46=Data!$KC$1,Data!$KC$2,IF(D46=Data!$KD$1,Data!$KD$2))</f>
        <v>0</v>
      </c>
      <c r="BC46" s="294" t="b">
        <f>IF(D46="Timber",Data!$IX$2,IF(D46="Fauxwood",Data!$IY$2))</f>
        <v>0</v>
      </c>
      <c r="BD46" s="66"/>
      <c r="BF46" s="369" t="e">
        <f>VLOOKUP(Q46,Data!$HX$56:$HY$89,2,FALSE)</f>
        <v>#N/A</v>
      </c>
      <c r="BJ46" s="66"/>
      <c r="BK46" s="55"/>
      <c r="BV46" s="66"/>
      <c r="BW46" s="66"/>
      <c r="CA46" s="66"/>
      <c r="CF46" s="66"/>
      <c r="CG46" s="66"/>
      <c r="CJ46" s="66"/>
      <c r="CK46" s="66"/>
      <c r="CL46" s="66"/>
      <c r="CP46" s="294"/>
      <c r="CQ46" s="66"/>
      <c r="CR46" s="66"/>
      <c r="CS46" s="66"/>
      <c r="CT46" s="66"/>
      <c r="CU46" s="55"/>
      <c r="CV46" s="55"/>
      <c r="CW46" s="66"/>
      <c r="CY46" s="66"/>
      <c r="CZ46" s="66"/>
      <c r="DH46" s="66"/>
      <c r="DK46" s="66"/>
      <c r="DN46" s="55"/>
      <c r="DO46" s="55"/>
      <c r="DP46" s="55"/>
      <c r="EC46" s="66"/>
      <c r="ED46" s="66"/>
      <c r="EE46" s="66"/>
    </row>
    <row r="47" spans="1:135" ht="15" customHeight="1">
      <c r="A47" s="52">
        <v>5</v>
      </c>
      <c r="B47" s="142"/>
      <c r="C47" s="144"/>
      <c r="D47" s="608"/>
      <c r="E47" s="608"/>
      <c r="F47" s="577"/>
      <c r="G47" s="578"/>
      <c r="H47" s="578"/>
      <c r="I47" s="578"/>
      <c r="J47" s="579"/>
      <c r="K47" s="596"/>
      <c r="L47" s="596"/>
      <c r="M47" s="142"/>
      <c r="N47" s="597"/>
      <c r="O47" s="598"/>
      <c r="P47" s="599"/>
      <c r="Q47" s="577"/>
      <c r="R47" s="578"/>
      <c r="S47" s="578"/>
      <c r="T47" s="578"/>
      <c r="U47" s="579"/>
      <c r="V47" s="636"/>
      <c r="W47" s="636"/>
      <c r="X47" s="636"/>
      <c r="Y47" s="636"/>
      <c r="Z47" s="636"/>
      <c r="AA47" s="637"/>
      <c r="AB47" s="638"/>
      <c r="AC47" s="638"/>
      <c r="AD47" s="639"/>
      <c r="AE47" s="640"/>
      <c r="AF47" s="58"/>
      <c r="AG47" s="58"/>
      <c r="AH47" s="58"/>
      <c r="AM47" s="55" t="b">
        <f>IF(D47=Data!$FB$74,Data!$FF$158,IF(D47=Data!$FB$75,Data!$FE$158))</f>
        <v>0</v>
      </c>
      <c r="AO47" s="55" t="b">
        <f>IF(N47=Data!$HX$94,Data!$HX$95,IF(N47=Data!$HY$94,Data!$HY$95))</f>
        <v>0</v>
      </c>
      <c r="AV47" s="86"/>
      <c r="BA47" s="294" t="str">
        <f t="shared" si="63"/>
        <v>Standard</v>
      </c>
      <c r="BB47" s="294" t="b">
        <f>IF(D47=Data!$KC$1,Data!$KC$2,IF(D47=Data!$KD$1,Data!$KD$2))</f>
        <v>0</v>
      </c>
      <c r="BC47" s="294" t="b">
        <f>IF(D47="Timber",Data!$IX$2,IF(D47="Fauxwood",Data!$IY$2))</f>
        <v>0</v>
      </c>
      <c r="BD47" s="66"/>
      <c r="BF47" s="369" t="e">
        <f>VLOOKUP(Q47,Data!$HX$56:$HY$89,2,FALSE)</f>
        <v>#N/A</v>
      </c>
      <c r="BJ47" s="66"/>
      <c r="BK47" s="55"/>
      <c r="BV47" s="66"/>
      <c r="BW47" s="66"/>
      <c r="CA47" s="66"/>
      <c r="CF47" s="66"/>
      <c r="CG47" s="66"/>
      <c r="CJ47" s="66"/>
      <c r="CK47" s="66"/>
      <c r="CL47" s="66"/>
      <c r="CP47" s="294"/>
      <c r="CQ47" s="66"/>
      <c r="CR47" s="66"/>
      <c r="CS47" s="66"/>
      <c r="CT47" s="66"/>
      <c r="CU47" s="55"/>
      <c r="CV47" s="55"/>
      <c r="CW47" s="66"/>
      <c r="CY47" s="66"/>
      <c r="CZ47" s="66"/>
      <c r="DH47" s="66"/>
      <c r="DK47" s="66"/>
      <c r="DN47" s="55"/>
      <c r="DO47" s="55"/>
      <c r="DP47" s="55"/>
      <c r="EC47" s="66"/>
      <c r="ED47" s="66"/>
      <c r="EE47" s="66"/>
    </row>
    <row r="48" spans="1:135" ht="15" customHeight="1">
      <c r="A48" s="52">
        <v>6</v>
      </c>
      <c r="B48" s="142"/>
      <c r="C48" s="144"/>
      <c r="D48" s="608"/>
      <c r="E48" s="608"/>
      <c r="F48" s="577"/>
      <c r="G48" s="578"/>
      <c r="H48" s="578"/>
      <c r="I48" s="578"/>
      <c r="J48" s="579"/>
      <c r="K48" s="596"/>
      <c r="L48" s="596"/>
      <c r="M48" s="142"/>
      <c r="N48" s="597"/>
      <c r="O48" s="598"/>
      <c r="P48" s="599"/>
      <c r="Q48" s="577"/>
      <c r="R48" s="578"/>
      <c r="S48" s="578"/>
      <c r="T48" s="578"/>
      <c r="U48" s="579"/>
      <c r="V48" s="636"/>
      <c r="W48" s="636"/>
      <c r="X48" s="636"/>
      <c r="Y48" s="636"/>
      <c r="Z48" s="636"/>
      <c r="AA48" s="637"/>
      <c r="AB48" s="638"/>
      <c r="AC48" s="638"/>
      <c r="AD48" s="639"/>
      <c r="AE48" s="640"/>
      <c r="AF48" s="58"/>
      <c r="AG48" s="58"/>
      <c r="AH48" s="58"/>
      <c r="AM48" s="55" t="b">
        <f>IF(D48=Data!$FB$74,Data!$FF$158,IF(D48=Data!$FB$75,Data!$FE$158))</f>
        <v>0</v>
      </c>
      <c r="AO48" s="55" t="b">
        <f>IF(N48=Data!$HX$94,Data!$HX$95,IF(N48=Data!$HY$94,Data!$HY$95))</f>
        <v>0</v>
      </c>
      <c r="AV48" s="86"/>
      <c r="BA48" s="294" t="str">
        <f t="shared" si="63"/>
        <v>Standard</v>
      </c>
      <c r="BB48" s="294" t="b">
        <f>IF(D48=Data!$KC$1,Data!$KC$2,IF(D48=Data!$KD$1,Data!$KD$2))</f>
        <v>0</v>
      </c>
      <c r="BC48" s="294" t="b">
        <f>IF(D48="Timber",Data!$IX$2,IF(D48="Fauxwood",Data!$IY$2))</f>
        <v>0</v>
      </c>
      <c r="BD48" s="66"/>
      <c r="BF48" s="369" t="e">
        <f>VLOOKUP(Q48,Data!$HX$56:$HY$89,2,FALSE)</f>
        <v>#N/A</v>
      </c>
      <c r="BJ48" s="66"/>
      <c r="BK48" s="55"/>
      <c r="BV48" s="66"/>
      <c r="BW48" s="66"/>
      <c r="CA48" s="66"/>
      <c r="CF48" s="66"/>
      <c r="CG48" s="66"/>
      <c r="CJ48" s="66"/>
      <c r="CK48" s="66"/>
      <c r="CL48" s="66"/>
      <c r="CP48" s="294"/>
      <c r="CQ48" s="66"/>
      <c r="CR48" s="66"/>
      <c r="CS48" s="66"/>
      <c r="CT48" s="66"/>
      <c r="CU48" s="55"/>
      <c r="CV48" s="55"/>
      <c r="CW48" s="66"/>
      <c r="CY48" s="66"/>
      <c r="CZ48" s="66"/>
      <c r="DH48" s="66"/>
      <c r="DK48" s="66"/>
      <c r="DN48" s="55"/>
      <c r="DO48" s="55"/>
      <c r="DP48" s="55"/>
      <c r="EC48" s="66"/>
      <c r="ED48" s="66"/>
      <c r="EE48" s="66"/>
    </row>
    <row r="49" spans="1:135" ht="15" customHeight="1">
      <c r="A49" s="52">
        <v>7</v>
      </c>
      <c r="B49" s="142"/>
      <c r="C49" s="144"/>
      <c r="D49" s="608"/>
      <c r="E49" s="608"/>
      <c r="F49" s="577"/>
      <c r="G49" s="578"/>
      <c r="H49" s="578"/>
      <c r="I49" s="578"/>
      <c r="J49" s="579"/>
      <c r="K49" s="596"/>
      <c r="L49" s="596"/>
      <c r="M49" s="142"/>
      <c r="N49" s="597"/>
      <c r="O49" s="598"/>
      <c r="P49" s="599"/>
      <c r="Q49" s="577"/>
      <c r="R49" s="578"/>
      <c r="S49" s="578"/>
      <c r="T49" s="578"/>
      <c r="U49" s="579"/>
      <c r="V49" s="636"/>
      <c r="W49" s="636"/>
      <c r="X49" s="636"/>
      <c r="Y49" s="636"/>
      <c r="Z49" s="636"/>
      <c r="AA49" s="637"/>
      <c r="AB49" s="638"/>
      <c r="AC49" s="638"/>
      <c r="AD49" s="639"/>
      <c r="AE49" s="640"/>
      <c r="AF49" s="58"/>
      <c r="AG49" s="58"/>
      <c r="AH49" s="58"/>
      <c r="AM49" s="55" t="b">
        <f>IF(D49=Data!$FB$74,Data!$FF$158,IF(D49=Data!$FB$75,Data!$FE$158))</f>
        <v>0</v>
      </c>
      <c r="AO49" s="55" t="b">
        <f>IF(N49=Data!$HX$94,Data!$HX$95,IF(N49=Data!$HY$94,Data!$HY$95))</f>
        <v>0</v>
      </c>
      <c r="AV49" s="86"/>
      <c r="BA49" s="294" t="str">
        <f t="shared" si="63"/>
        <v>Standard</v>
      </c>
      <c r="BB49" s="294" t="b">
        <f>IF(D49=Data!$KC$1,Data!$KC$2,IF(D49=Data!$KD$1,Data!$KD$2))</f>
        <v>0</v>
      </c>
      <c r="BC49" s="294" t="b">
        <f>IF(D49="Timber",Data!$IX$2,IF(D49="Fauxwood",Data!$IY$2))</f>
        <v>0</v>
      </c>
      <c r="BD49" s="66"/>
      <c r="BF49" s="369" t="e">
        <f>VLOOKUP(Q49,Data!$HX$56:$HY$89,2,FALSE)</f>
        <v>#N/A</v>
      </c>
      <c r="BJ49" s="66"/>
      <c r="BK49" s="55"/>
      <c r="BV49" s="66"/>
      <c r="BW49" s="66"/>
      <c r="CA49" s="66"/>
      <c r="CF49" s="66"/>
      <c r="CG49" s="66"/>
      <c r="CJ49" s="66"/>
      <c r="CK49" s="66"/>
      <c r="CL49" s="66"/>
      <c r="CP49" s="294"/>
      <c r="CQ49" s="66"/>
      <c r="CR49" s="66"/>
      <c r="CS49" s="66"/>
      <c r="CT49" s="66"/>
      <c r="CU49" s="55"/>
      <c r="CV49" s="55"/>
      <c r="CW49" s="66"/>
      <c r="CY49" s="66"/>
      <c r="CZ49" s="66"/>
      <c r="DH49" s="66"/>
      <c r="DK49" s="66"/>
      <c r="DN49" s="55"/>
      <c r="DO49" s="55"/>
      <c r="DP49" s="55"/>
      <c r="EC49" s="66"/>
      <c r="ED49" s="66"/>
      <c r="EE49" s="66"/>
    </row>
    <row r="50" spans="1:135" ht="15" customHeight="1">
      <c r="A50" s="52">
        <v>8</v>
      </c>
      <c r="B50" s="142"/>
      <c r="C50" s="144"/>
      <c r="D50" s="608"/>
      <c r="E50" s="608"/>
      <c r="F50" s="577"/>
      <c r="G50" s="578"/>
      <c r="H50" s="578"/>
      <c r="I50" s="578"/>
      <c r="J50" s="579"/>
      <c r="K50" s="596"/>
      <c r="L50" s="596"/>
      <c r="M50" s="142"/>
      <c r="N50" s="597"/>
      <c r="O50" s="598"/>
      <c r="P50" s="599"/>
      <c r="Q50" s="577"/>
      <c r="R50" s="578"/>
      <c r="S50" s="578"/>
      <c r="T50" s="578"/>
      <c r="U50" s="579"/>
      <c r="V50" s="636"/>
      <c r="W50" s="636"/>
      <c r="X50" s="636"/>
      <c r="Y50" s="636"/>
      <c r="Z50" s="636"/>
      <c r="AA50" s="637"/>
      <c r="AB50" s="638"/>
      <c r="AC50" s="638"/>
      <c r="AD50" s="639"/>
      <c r="AE50" s="640"/>
      <c r="AF50" s="58"/>
      <c r="AG50" s="58"/>
      <c r="AH50" s="58"/>
      <c r="AM50" s="55" t="b">
        <f>IF(D50=Data!$FB$74,Data!$FF$158,IF(D50=Data!$FB$75,Data!$FE$158))</f>
        <v>0</v>
      </c>
      <c r="AO50" s="55" t="b">
        <f>IF(N50=Data!$HX$94,Data!$HX$95,IF(N50=Data!$HY$94,Data!$HY$95))</f>
        <v>0</v>
      </c>
      <c r="AV50" s="86"/>
      <c r="BA50" s="294" t="str">
        <f t="shared" si="63"/>
        <v>Standard</v>
      </c>
      <c r="BB50" s="294" t="b">
        <f>IF(D50=Data!$KC$1,Data!$KC$2,IF(D50=Data!$KD$1,Data!$KD$2))</f>
        <v>0</v>
      </c>
      <c r="BC50" s="294" t="b">
        <f>IF(D50="Timber",Data!$IX$2,IF(D50="Fauxwood",Data!$IY$2))</f>
        <v>0</v>
      </c>
      <c r="BD50" s="66"/>
      <c r="BF50" s="369" t="e">
        <f>VLOOKUP(Q50,Data!$HX$56:$HY$89,2,FALSE)</f>
        <v>#N/A</v>
      </c>
      <c r="BJ50" s="66"/>
      <c r="BK50" s="55"/>
      <c r="BV50" s="66"/>
      <c r="BW50" s="66"/>
      <c r="CA50" s="66"/>
      <c r="CF50" s="66"/>
      <c r="CG50" s="66"/>
      <c r="CJ50" s="66"/>
      <c r="CK50" s="66"/>
      <c r="CL50" s="66"/>
      <c r="CP50" s="294"/>
      <c r="CQ50" s="66"/>
      <c r="CR50" s="66"/>
      <c r="CS50" s="66"/>
      <c r="CT50" s="66"/>
      <c r="CU50" s="55"/>
      <c r="CV50" s="55"/>
      <c r="CW50" s="66"/>
      <c r="CY50" s="66"/>
      <c r="CZ50" s="66"/>
      <c r="DH50" s="66"/>
      <c r="DK50" s="66"/>
      <c r="DN50" s="55"/>
      <c r="DO50" s="55"/>
      <c r="DP50" s="55"/>
      <c r="EC50" s="66"/>
      <c r="ED50" s="66"/>
      <c r="EE50" s="66"/>
    </row>
    <row r="51" spans="1:135" ht="15" customHeight="1">
      <c r="A51" s="52">
        <v>9</v>
      </c>
      <c r="B51" s="142"/>
      <c r="C51" s="144"/>
      <c r="D51" s="608"/>
      <c r="E51" s="608"/>
      <c r="F51" s="577"/>
      <c r="G51" s="578"/>
      <c r="H51" s="578"/>
      <c r="I51" s="578"/>
      <c r="J51" s="579"/>
      <c r="K51" s="596"/>
      <c r="L51" s="596"/>
      <c r="M51" s="142"/>
      <c r="N51" s="597"/>
      <c r="O51" s="598"/>
      <c r="P51" s="599"/>
      <c r="Q51" s="577"/>
      <c r="R51" s="578"/>
      <c r="S51" s="578"/>
      <c r="T51" s="578"/>
      <c r="U51" s="579"/>
      <c r="V51" s="636"/>
      <c r="W51" s="636"/>
      <c r="X51" s="636"/>
      <c r="Y51" s="636"/>
      <c r="Z51" s="636"/>
      <c r="AA51" s="637"/>
      <c r="AB51" s="638"/>
      <c r="AC51" s="638"/>
      <c r="AD51" s="639"/>
      <c r="AE51" s="640"/>
      <c r="AF51" s="58"/>
      <c r="AG51" s="58"/>
      <c r="AH51" s="58"/>
      <c r="AM51" s="55" t="b">
        <f>IF(D51=Data!$FB$74,Data!$FF$158,IF(D51=Data!$FB$75,Data!$FE$158))</f>
        <v>0</v>
      </c>
      <c r="AO51" s="55" t="b">
        <f>IF(N51=Data!$HX$94,Data!$HX$95,IF(N51=Data!$HY$94,Data!$HY$95))</f>
        <v>0</v>
      </c>
      <c r="AV51" s="86"/>
      <c r="BA51" s="294" t="str">
        <f t="shared" si="63"/>
        <v>Standard</v>
      </c>
      <c r="BB51" s="294" t="b">
        <f>IF(D51=Data!$KC$1,Data!$KC$2,IF(D51=Data!$KD$1,Data!$KD$2))</f>
        <v>0</v>
      </c>
      <c r="BC51" s="294" t="b">
        <f>IF(D51="Timber",Data!$IX$2,IF(D51="Fauxwood",Data!$IY$2))</f>
        <v>0</v>
      </c>
      <c r="BD51" s="66"/>
      <c r="BF51" s="369" t="e">
        <f>VLOOKUP(Q51,Data!$HX$56:$HY$89,2,FALSE)</f>
        <v>#N/A</v>
      </c>
      <c r="BJ51" s="66"/>
      <c r="BK51" s="55"/>
      <c r="BV51" s="66"/>
      <c r="BW51" s="66"/>
      <c r="CA51" s="66"/>
      <c r="CF51" s="66"/>
      <c r="CG51" s="66"/>
      <c r="CJ51" s="66"/>
      <c r="CK51" s="66"/>
      <c r="CL51" s="66"/>
      <c r="CP51" s="294"/>
      <c r="CQ51" s="66"/>
      <c r="CR51" s="66"/>
      <c r="CS51" s="66"/>
      <c r="CT51" s="66"/>
      <c r="CU51" s="55"/>
      <c r="CV51" s="55"/>
      <c r="CW51" s="66"/>
      <c r="CY51" s="66"/>
      <c r="CZ51" s="66"/>
      <c r="DH51" s="66"/>
      <c r="DK51" s="66"/>
      <c r="DN51" s="55"/>
      <c r="DO51" s="55"/>
      <c r="DP51" s="55"/>
      <c r="EC51" s="66"/>
      <c r="ED51" s="66"/>
      <c r="EE51" s="66"/>
    </row>
    <row r="52" spans="1:135" ht="15" customHeight="1" thickBot="1">
      <c r="A52" s="146">
        <v>10</v>
      </c>
      <c r="B52" s="147"/>
      <c r="C52" s="151"/>
      <c r="D52" s="657"/>
      <c r="E52" s="657"/>
      <c r="F52" s="589"/>
      <c r="G52" s="590"/>
      <c r="H52" s="590"/>
      <c r="I52" s="590"/>
      <c r="J52" s="591"/>
      <c r="K52" s="650"/>
      <c r="L52" s="650"/>
      <c r="M52" s="147"/>
      <c r="N52" s="600"/>
      <c r="O52" s="601"/>
      <c r="P52" s="602"/>
      <c r="Q52" s="589"/>
      <c r="R52" s="590"/>
      <c r="S52" s="590"/>
      <c r="T52" s="590"/>
      <c r="U52" s="591"/>
      <c r="V52" s="635"/>
      <c r="W52" s="635"/>
      <c r="X52" s="635"/>
      <c r="Y52" s="635"/>
      <c r="Z52" s="635"/>
      <c r="AA52" s="631"/>
      <c r="AB52" s="632"/>
      <c r="AC52" s="632"/>
      <c r="AD52" s="633"/>
      <c r="AE52" s="634"/>
      <c r="AF52" s="58"/>
      <c r="AG52" s="58"/>
      <c r="AH52" s="58"/>
      <c r="AM52" s="55" t="b">
        <f>IF(D52=Data!$FB$74,Data!$FF$158,IF(D52=Data!$FB$75,Data!$FE$158))</f>
        <v>0</v>
      </c>
      <c r="AO52" s="55" t="b">
        <f>IF(N52=Data!$HX$94,Data!$HX$95,IF(N52=Data!$HY$94,Data!$HY$95))</f>
        <v>0</v>
      </c>
      <c r="AV52" s="86"/>
      <c r="BA52" s="294" t="str">
        <f t="shared" si="63"/>
        <v>Standard</v>
      </c>
      <c r="BB52" s="294" t="b">
        <f>IF(D52=Data!$KC$1,Data!$KC$2,IF(D52=Data!$KD$1,Data!$KD$2))</f>
        <v>0</v>
      </c>
      <c r="BC52" s="294" t="b">
        <f>IF(D52="Timber",Data!$IX$2,IF(D52="Fauxwood",Data!$IY$2))</f>
        <v>0</v>
      </c>
      <c r="BD52" s="66"/>
      <c r="BF52" s="369" t="e">
        <f>VLOOKUP(Q52,Data!$HX$56:$HY$89,2,FALSE)</f>
        <v>#N/A</v>
      </c>
      <c r="BJ52" s="66"/>
      <c r="BK52" s="55"/>
      <c r="BV52" s="66"/>
      <c r="BW52" s="66"/>
      <c r="CA52" s="66"/>
      <c r="CF52" s="66"/>
      <c r="CG52" s="66"/>
      <c r="CJ52" s="66"/>
      <c r="CK52" s="66"/>
      <c r="CL52" s="66"/>
      <c r="CP52" s="294"/>
      <c r="CQ52" s="66"/>
      <c r="CR52" s="66"/>
      <c r="CS52" s="66"/>
      <c r="CT52" s="66"/>
      <c r="CU52" s="55"/>
      <c r="CV52" s="55"/>
      <c r="CW52" s="66"/>
      <c r="CY52" s="66"/>
      <c r="CZ52" s="66"/>
      <c r="DH52" s="66"/>
      <c r="DK52" s="66"/>
      <c r="DN52" s="55"/>
      <c r="DO52" s="55"/>
      <c r="DP52" s="55"/>
      <c r="EC52" s="66"/>
      <c r="ED52" s="66"/>
      <c r="EE52" s="66"/>
    </row>
    <row r="53" spans="1:135" ht="15.75" thickTop="1">
      <c r="BB53" s="66"/>
      <c r="BD53" s="66"/>
      <c r="BF53" s="66"/>
      <c r="BJ53" s="66"/>
      <c r="BK53" s="55"/>
      <c r="BV53" s="66"/>
      <c r="BW53" s="66"/>
      <c r="CA53" s="66"/>
      <c r="CF53" s="66"/>
      <c r="CG53" s="66"/>
      <c r="CJ53" s="66"/>
      <c r="CK53" s="66"/>
      <c r="CL53" s="66"/>
      <c r="CP53" s="294"/>
      <c r="CQ53" s="66"/>
      <c r="CR53" s="66"/>
      <c r="CS53" s="66"/>
      <c r="CT53" s="66"/>
      <c r="CU53" s="55"/>
      <c r="CV53" s="55"/>
      <c r="CW53" s="66"/>
      <c r="CY53" s="66"/>
      <c r="CZ53" s="66"/>
      <c r="DH53" s="66"/>
      <c r="DK53" s="66"/>
      <c r="DN53" s="55"/>
      <c r="DO53" s="55"/>
      <c r="DP53" s="55"/>
      <c r="EC53" s="66"/>
      <c r="ED53" s="66"/>
      <c r="EE53" s="66"/>
    </row>
  </sheetData>
  <sheetProtection algorithmName="SHA-512" hashValue="XfDM2emYEolMJNiH/uvAta7BxtXzT6Y0KEURT+6/8b70p/WCR0fve8dG5VkBn6sTlFv0sG3tXxF1DqYbfqHMoA==" saltValue="Ljmhd2A34rjpe0RxyTvogg==" spinCount="100000" sheet="1" objects="1" scenarios="1"/>
  <mergeCells count="216">
    <mergeCell ref="FL7:FN7"/>
    <mergeCell ref="AG1:AG2"/>
    <mergeCell ref="L2:M2"/>
    <mergeCell ref="N2:AA2"/>
    <mergeCell ref="AB2:AC2"/>
    <mergeCell ref="AD2:AE2"/>
    <mergeCell ref="A3:E3"/>
    <mergeCell ref="F3:J3"/>
    <mergeCell ref="L3:M3"/>
    <mergeCell ref="N3:AA3"/>
    <mergeCell ref="AB3:AC3"/>
    <mergeCell ref="A1:G2"/>
    <mergeCell ref="H1:J2"/>
    <mergeCell ref="L1:M1"/>
    <mergeCell ref="N1:AA1"/>
    <mergeCell ref="AB1:AC1"/>
    <mergeCell ref="AF1:AF2"/>
    <mergeCell ref="AF4:AF5"/>
    <mergeCell ref="AG4:AG5"/>
    <mergeCell ref="L5:M5"/>
    <mergeCell ref="N5:AA5"/>
    <mergeCell ref="AB5:AC5"/>
    <mergeCell ref="AD5:AE5"/>
    <mergeCell ref="AD3:AE3"/>
    <mergeCell ref="A4:E5"/>
    <mergeCell ref="F4:J5"/>
    <mergeCell ref="L4:M4"/>
    <mergeCell ref="N4:AA4"/>
    <mergeCell ref="AB4:AC4"/>
    <mergeCell ref="AD4:AE4"/>
    <mergeCell ref="A6:J6"/>
    <mergeCell ref="L6:M6"/>
    <mergeCell ref="N6:AA6"/>
    <mergeCell ref="AB6:AC6"/>
    <mergeCell ref="AD6:AE6"/>
    <mergeCell ref="B7:J7"/>
    <mergeCell ref="M7:W7"/>
    <mergeCell ref="X7:Y7"/>
    <mergeCell ref="Z7:AC7"/>
    <mergeCell ref="H11:I11"/>
    <mergeCell ref="Q11:R11"/>
    <mergeCell ref="H12:I12"/>
    <mergeCell ref="Q12:R12"/>
    <mergeCell ref="H13:I13"/>
    <mergeCell ref="Q13:R13"/>
    <mergeCell ref="H8:I8"/>
    <mergeCell ref="Q8:R8"/>
    <mergeCell ref="H9:I9"/>
    <mergeCell ref="Q9:R9"/>
    <mergeCell ref="H10:I10"/>
    <mergeCell ref="Q10:R10"/>
    <mergeCell ref="H17:I17"/>
    <mergeCell ref="Q17:R17"/>
    <mergeCell ref="H18:I18"/>
    <mergeCell ref="Q18:R18"/>
    <mergeCell ref="H19:I19"/>
    <mergeCell ref="Q19:R19"/>
    <mergeCell ref="H14:I14"/>
    <mergeCell ref="Q14:R14"/>
    <mergeCell ref="H15:I15"/>
    <mergeCell ref="Q15:R15"/>
    <mergeCell ref="H16:I16"/>
    <mergeCell ref="Q16:R16"/>
    <mergeCell ref="H23:I23"/>
    <mergeCell ref="Q23:R23"/>
    <mergeCell ref="A24:B24"/>
    <mergeCell ref="B25:E25"/>
    <mergeCell ref="F25:J25"/>
    <mergeCell ref="K25:M25"/>
    <mergeCell ref="N25:U25"/>
    <mergeCell ref="H20:I20"/>
    <mergeCell ref="Q20:R20"/>
    <mergeCell ref="H21:I21"/>
    <mergeCell ref="Q21:R21"/>
    <mergeCell ref="H22:I22"/>
    <mergeCell ref="Q22:R22"/>
    <mergeCell ref="V25:AE25"/>
    <mergeCell ref="B26:E26"/>
    <mergeCell ref="F26:J26"/>
    <mergeCell ref="K26:M26"/>
    <mergeCell ref="N26:U26"/>
    <mergeCell ref="V26:AE40"/>
    <mergeCell ref="B27:E27"/>
    <mergeCell ref="F27:J27"/>
    <mergeCell ref="K27:M27"/>
    <mergeCell ref="N27:U27"/>
    <mergeCell ref="B30:E30"/>
    <mergeCell ref="F30:J30"/>
    <mergeCell ref="K30:M30"/>
    <mergeCell ref="N30:U30"/>
    <mergeCell ref="B31:E31"/>
    <mergeCell ref="F31:J31"/>
    <mergeCell ref="K31:M31"/>
    <mergeCell ref="N31:U31"/>
    <mergeCell ref="B28:E28"/>
    <mergeCell ref="F28:J28"/>
    <mergeCell ref="K28:M28"/>
    <mergeCell ref="N28:U28"/>
    <mergeCell ref="B29:E29"/>
    <mergeCell ref="F29:J29"/>
    <mergeCell ref="K29:M29"/>
    <mergeCell ref="N29:U29"/>
    <mergeCell ref="B34:E34"/>
    <mergeCell ref="F34:J34"/>
    <mergeCell ref="K34:M34"/>
    <mergeCell ref="N34:U34"/>
    <mergeCell ref="B35:E35"/>
    <mergeCell ref="F35:J35"/>
    <mergeCell ref="K35:M35"/>
    <mergeCell ref="N35:U35"/>
    <mergeCell ref="B32:E32"/>
    <mergeCell ref="F32:J32"/>
    <mergeCell ref="K32:M32"/>
    <mergeCell ref="N32:U32"/>
    <mergeCell ref="B33:E33"/>
    <mergeCell ref="F33:J33"/>
    <mergeCell ref="K33:M33"/>
    <mergeCell ref="N33:U33"/>
    <mergeCell ref="B38:E38"/>
    <mergeCell ref="F38:J38"/>
    <mergeCell ref="K38:M38"/>
    <mergeCell ref="N38:U38"/>
    <mergeCell ref="B39:E39"/>
    <mergeCell ref="F39:J39"/>
    <mergeCell ref="K39:M39"/>
    <mergeCell ref="N39:U39"/>
    <mergeCell ref="B36:E36"/>
    <mergeCell ref="F36:J36"/>
    <mergeCell ref="K36:M36"/>
    <mergeCell ref="N36:U36"/>
    <mergeCell ref="B37:E37"/>
    <mergeCell ref="F37:J37"/>
    <mergeCell ref="K37:M37"/>
    <mergeCell ref="N37:U37"/>
    <mergeCell ref="B40:E40"/>
    <mergeCell ref="F40:J40"/>
    <mergeCell ref="K40:M40"/>
    <mergeCell ref="N40:U40"/>
    <mergeCell ref="B41:I41"/>
    <mergeCell ref="D42:E42"/>
    <mergeCell ref="F42:J42"/>
    <mergeCell ref="K42:L42"/>
    <mergeCell ref="N42:P42"/>
    <mergeCell ref="Q42:U42"/>
    <mergeCell ref="V42:Z42"/>
    <mergeCell ref="AA42:AE42"/>
    <mergeCell ref="D43:E43"/>
    <mergeCell ref="F43:J43"/>
    <mergeCell ref="K43:L43"/>
    <mergeCell ref="N43:P43"/>
    <mergeCell ref="Q43:U43"/>
    <mergeCell ref="V43:Z43"/>
    <mergeCell ref="AA43:AE43"/>
    <mergeCell ref="AA44:AE44"/>
    <mergeCell ref="D45:E45"/>
    <mergeCell ref="F45:J45"/>
    <mergeCell ref="K45:L45"/>
    <mergeCell ref="N45:P45"/>
    <mergeCell ref="Q45:U45"/>
    <mergeCell ref="V45:Z45"/>
    <mergeCell ref="AA45:AE45"/>
    <mergeCell ref="D44:E44"/>
    <mergeCell ref="F44:J44"/>
    <mergeCell ref="K44:L44"/>
    <mergeCell ref="N44:P44"/>
    <mergeCell ref="Q44:U44"/>
    <mergeCell ref="V44:Z44"/>
    <mergeCell ref="AA46:AE46"/>
    <mergeCell ref="D47:E47"/>
    <mergeCell ref="F47:J47"/>
    <mergeCell ref="K47:L47"/>
    <mergeCell ref="N47:P47"/>
    <mergeCell ref="Q47:U47"/>
    <mergeCell ref="V47:Z47"/>
    <mergeCell ref="AA47:AE47"/>
    <mergeCell ref="D46:E46"/>
    <mergeCell ref="F46:J46"/>
    <mergeCell ref="K46:L46"/>
    <mergeCell ref="N46:P46"/>
    <mergeCell ref="Q46:U46"/>
    <mergeCell ref="V46:Z46"/>
    <mergeCell ref="AA48:AE48"/>
    <mergeCell ref="D49:E49"/>
    <mergeCell ref="F49:J49"/>
    <mergeCell ref="K49:L49"/>
    <mergeCell ref="N49:P49"/>
    <mergeCell ref="Q49:U49"/>
    <mergeCell ref="V49:Z49"/>
    <mergeCell ref="AA49:AE49"/>
    <mergeCell ref="D48:E48"/>
    <mergeCell ref="F48:J48"/>
    <mergeCell ref="K48:L48"/>
    <mergeCell ref="N48:P48"/>
    <mergeCell ref="Q48:U48"/>
    <mergeCell ref="V48:Z48"/>
    <mergeCell ref="AA52:AE52"/>
    <mergeCell ref="D52:E52"/>
    <mergeCell ref="F52:J52"/>
    <mergeCell ref="K52:L52"/>
    <mergeCell ref="N52:P52"/>
    <mergeCell ref="Q52:U52"/>
    <mergeCell ref="V52:Z52"/>
    <mergeCell ref="AA50:AE50"/>
    <mergeCell ref="D51:E51"/>
    <mergeCell ref="F51:J51"/>
    <mergeCell ref="K51:L51"/>
    <mergeCell ref="N51:P51"/>
    <mergeCell ref="Q51:U51"/>
    <mergeCell ref="V51:Z51"/>
    <mergeCell ref="AA51:AE51"/>
    <mergeCell ref="D50:E50"/>
    <mergeCell ref="F50:J50"/>
    <mergeCell ref="K50:L50"/>
    <mergeCell ref="N50:P50"/>
    <mergeCell ref="Q50:U50"/>
    <mergeCell ref="V50:Z50"/>
  </mergeCells>
  <conditionalFormatting sqref="K9:K23">
    <cfRule type="containsText" dxfId="53" priority="7" operator="containsText" text="No">
      <formula>NOT(ISERROR(SEARCH("No",K9)))</formula>
    </cfRule>
    <cfRule type="containsText" dxfId="52" priority="42" stopIfTrue="1" operator="containsText" text="Yes">
      <formula>NOT(ISERROR(SEARCH("Yes",K9)))</formula>
    </cfRule>
  </conditionalFormatting>
  <conditionalFormatting sqref="L9:L23">
    <cfRule type="expression" dxfId="51" priority="41" stopIfTrue="1">
      <formula>BB9="Yes"</formula>
    </cfRule>
  </conditionalFormatting>
  <conditionalFormatting sqref="C9:C23">
    <cfRule type="expression" dxfId="50" priority="40">
      <formula>K9="Yes"</formula>
    </cfRule>
  </conditionalFormatting>
  <conditionalFormatting sqref="D9:D23">
    <cfRule type="expression" dxfId="49" priority="39">
      <formula>BF9="Yes"</formula>
    </cfRule>
  </conditionalFormatting>
  <conditionalFormatting sqref="AD9:AD23">
    <cfRule type="expression" dxfId="48" priority="38">
      <formula>BI9="Required"</formula>
    </cfRule>
  </conditionalFormatting>
  <conditionalFormatting sqref="Y9:Y23">
    <cfRule type="expression" dxfId="47" priority="37">
      <formula>BJ9="Highlight"</formula>
    </cfRule>
  </conditionalFormatting>
  <conditionalFormatting sqref="Z9:Z23">
    <cfRule type="expression" dxfId="46" priority="36">
      <formula>DS9="Yes"</formula>
    </cfRule>
  </conditionalFormatting>
  <conditionalFormatting sqref="AB9:AB23">
    <cfRule type="expression" dxfId="45" priority="35">
      <formula>BN9="Error"</formula>
    </cfRule>
  </conditionalFormatting>
  <conditionalFormatting sqref="AC9:AC23">
    <cfRule type="expression" dxfId="44" priority="34">
      <formula>BO9="Error"</formula>
    </cfRule>
  </conditionalFormatting>
  <conditionalFormatting sqref="K9:K23">
    <cfRule type="containsErrors" dxfId="43" priority="33">
      <formula>ISERROR(K9)</formula>
    </cfRule>
  </conditionalFormatting>
  <conditionalFormatting sqref="J9:J23">
    <cfRule type="expression" dxfId="42" priority="32">
      <formula>CE9="Yes"</formula>
    </cfRule>
  </conditionalFormatting>
  <conditionalFormatting sqref="S9:S23">
    <cfRule type="expression" dxfId="41" priority="31">
      <formula>CF9="Yes"</formula>
    </cfRule>
  </conditionalFormatting>
  <conditionalFormatting sqref="S10:V12 T9 T13:T23">
    <cfRule type="expression" dxfId="40" priority="30">
      <formula>EB9="Yes"</formula>
    </cfRule>
  </conditionalFormatting>
  <conditionalFormatting sqref="U9:U23">
    <cfRule type="expression" dxfId="39" priority="29">
      <formula>ED9="Yes"</formula>
    </cfRule>
  </conditionalFormatting>
  <conditionalFormatting sqref="Q9:R23">
    <cfRule type="expression" dxfId="38" priority="28">
      <formula>CI9="Error"</formula>
    </cfRule>
  </conditionalFormatting>
  <conditionalFormatting sqref="B44:C52">
    <cfRule type="expression" dxfId="37" priority="27">
      <formula>BR27="Yes"</formula>
    </cfRule>
  </conditionalFormatting>
  <conditionalFormatting sqref="B44:C52">
    <cfRule type="expression" dxfId="36" priority="26">
      <formula>BS27="Yes"</formula>
    </cfRule>
  </conditionalFormatting>
  <conditionalFormatting sqref="C43">
    <cfRule type="expression" dxfId="35" priority="25">
      <formula>BS26="Yes"</formula>
    </cfRule>
  </conditionalFormatting>
  <conditionalFormatting sqref="C43">
    <cfRule type="expression" dxfId="34" priority="24">
      <formula>BT26="Yes"</formula>
    </cfRule>
  </conditionalFormatting>
  <conditionalFormatting sqref="F9:F23">
    <cfRule type="expression" dxfId="33" priority="23">
      <formula>CL9="Failed"</formula>
    </cfRule>
  </conditionalFormatting>
  <conditionalFormatting sqref="N6:O6">
    <cfRule type="notContainsBlanks" dxfId="32" priority="22">
      <formula>LEN(TRIM(N6))&gt;0</formula>
    </cfRule>
  </conditionalFormatting>
  <conditionalFormatting sqref="DM10 Z7">
    <cfRule type="containsText" dxfId="31" priority="21" operator="containsText" text="Layout Code &amp; T Post Quantity Issue">
      <formula>NOT(ISERROR(SEARCH("Layout Code &amp; T Post Quantity Issue",Z7)))</formula>
    </cfRule>
  </conditionalFormatting>
  <conditionalFormatting sqref="AB9:AB23">
    <cfRule type="expression" dxfId="30" priority="20">
      <formula>DV9="Error"</formula>
    </cfRule>
  </conditionalFormatting>
  <conditionalFormatting sqref="AC9:AC23">
    <cfRule type="expression" dxfId="29" priority="19">
      <formula>DW9="Error"</formula>
    </cfRule>
  </conditionalFormatting>
  <conditionalFormatting sqref="AA9:AA23">
    <cfRule type="expression" dxfId="28" priority="18">
      <formula>BM9="Error"</formula>
    </cfRule>
  </conditionalFormatting>
  <conditionalFormatting sqref="AA9:AA23">
    <cfRule type="expression" dxfId="27" priority="17">
      <formula>DU9="Error"</formula>
    </cfRule>
  </conditionalFormatting>
  <conditionalFormatting sqref="P9:P23">
    <cfRule type="expression" dxfId="26" priority="15">
      <formula>DM9="Layout Code &amp; T Post Quantity Issue"</formula>
    </cfRule>
    <cfRule type="expression" dxfId="25" priority="16">
      <formula>CL9="Failed"</formula>
    </cfRule>
  </conditionalFormatting>
  <conditionalFormatting sqref="W9:W23">
    <cfRule type="expression" dxfId="24" priority="14">
      <formula>BG9="Required"</formula>
    </cfRule>
  </conditionalFormatting>
  <conditionalFormatting sqref="M9:M23">
    <cfRule type="expression" dxfId="23" priority="43">
      <formula>CC9="Yes"</formula>
    </cfRule>
  </conditionalFormatting>
  <conditionalFormatting sqref="Q9:R23">
    <cfRule type="expression" dxfId="22" priority="13">
      <formula>AY9="Yes"</formula>
    </cfRule>
  </conditionalFormatting>
  <conditionalFormatting sqref="X9:X23">
    <cfRule type="expression" dxfId="21" priority="12">
      <formula>AW9="Yes"</formula>
    </cfRule>
  </conditionalFormatting>
  <conditionalFormatting sqref="P9:P23">
    <cfRule type="expression" dxfId="20" priority="11">
      <formula>EI9="ERROR"</formula>
    </cfRule>
  </conditionalFormatting>
  <conditionalFormatting sqref="C9:C23">
    <cfRule type="expression" dxfId="19" priority="10">
      <formula>CU9&lt;250</formula>
    </cfRule>
  </conditionalFormatting>
  <conditionalFormatting sqref="D9:D23">
    <cfRule type="expression" dxfId="18" priority="9">
      <formula>EJ9&lt;350</formula>
    </cfRule>
  </conditionalFormatting>
  <conditionalFormatting sqref="V9:V23">
    <cfRule type="expression" dxfId="17" priority="8">
      <formula>EE9="Yes"</formula>
    </cfRule>
  </conditionalFormatting>
  <conditionalFormatting sqref="T9:T23">
    <cfRule type="expression" dxfId="16" priority="6">
      <formula>CG9="Yes"</formula>
    </cfRule>
  </conditionalFormatting>
  <conditionalFormatting sqref="V9:V23">
    <cfRule type="expression" dxfId="15" priority="5">
      <formula>EE9="Yes"</formula>
    </cfRule>
  </conditionalFormatting>
  <conditionalFormatting sqref="AE1">
    <cfRule type="cellIs" dxfId="14" priority="4" operator="greaterThan">
      <formula>1</formula>
    </cfRule>
  </conditionalFormatting>
  <conditionalFormatting sqref="F43:F52">
    <cfRule type="expression" dxfId="13" priority="2">
      <formula>BT26="Yes"</formula>
    </cfRule>
  </conditionalFormatting>
  <conditionalFormatting sqref="F43:F52">
    <cfRule type="expression" dxfId="12" priority="3">
      <formula>BU26="Yes"</formula>
    </cfRule>
  </conditionalFormatting>
  <conditionalFormatting sqref="S9">
    <cfRule type="expression" dxfId="11" priority="1">
      <formula>EB9="Yes"</formula>
    </cfRule>
  </conditionalFormatting>
  <dataValidations count="38">
    <dataValidation type="list" allowBlank="1" showInputMessage="1" showErrorMessage="1" errorTitle="Invalid Entry" error="Invalid Entry" sqref="O9:O23" xr:uid="{F2F4BAAE-3B25-4525-8CF2-6DA0AAADE8AC}">
      <formula1>INDIRECT(SUBSTITUTE(AP9," ","_"))</formula1>
    </dataValidation>
    <dataValidation type="list" allowBlank="1" showInputMessage="1" showErrorMessage="1" errorTitle="Invalid Entry" error="Invalid Entry" sqref="Q43:U52" xr:uid="{5DC37761-FF3E-4D37-AC43-E7F82F763552}">
      <formula1>INDIRECT(SUBSTITUTE(AO43," ","_"))</formula1>
    </dataValidation>
    <dataValidation type="list" allowBlank="1" showInputMessage="1" showErrorMessage="1" errorTitle="Invalid Entry" error="Invalid Entry" sqref="F43:J52" xr:uid="{BC25A78E-1C9C-481E-8F94-D5FC6428F471}">
      <formula1>INDIRECT(AM43)</formula1>
    </dataValidation>
    <dataValidation type="list" allowBlank="1" showInputMessage="1" showErrorMessage="1" sqref="K26:M40" xr:uid="{47B131C3-5714-442B-816C-73F46BFACE29}">
      <formula1>INDIRECT(GQ9)</formula1>
    </dataValidation>
    <dataValidation type="list" allowBlank="1" showInputMessage="1" showErrorMessage="1" errorTitle="Invalid Entry" error="Invalid Entry" sqref="F26:J40" xr:uid="{BB732B2B-99DB-488A-BBAC-C4C9196A169A}">
      <formula1>INDIRECT(GQ9)</formula1>
    </dataValidation>
    <dataValidation type="list" allowBlank="1" showInputMessage="1" showErrorMessage="1" errorTitle="Invalid Entry" error="Invalid Entry" sqref="B26:E40" xr:uid="{2FCD2753-FD43-47B6-9751-64158C1DD281}">
      <formula1>INDIRECT(GQ9)</formula1>
    </dataValidation>
    <dataValidation type="list" allowBlank="1" showInputMessage="1" showErrorMessage="1" errorTitle="Invalid Entry" error="Invalid Entry" sqref="V9:V23" xr:uid="{54961E6D-F80E-42A6-B954-15820DC40535}">
      <formula1>INDIRECT(EQ9)</formula1>
    </dataValidation>
    <dataValidation type="list" allowBlank="1" showInputMessage="1" showErrorMessage="1" errorTitle="Invalid Entry" error="Invalid Entry" sqref="U9:U23" xr:uid="{D774452C-A671-4D63-A4B4-EEAB5A271F3A}">
      <formula1>INDIRECT(EL9)</formula1>
    </dataValidation>
    <dataValidation type="list" allowBlank="1" showInputMessage="1" showErrorMessage="1" errorTitle="Invalid Entry" error="Invalid Entry" sqref="T9:T23" xr:uid="{CFCAF1C3-04C2-4D8B-A43E-3EAEBF111883}">
      <formula1>INDIRECT(DP9)</formula1>
    </dataValidation>
    <dataValidation type="list" allowBlank="1" showInputMessage="1" showErrorMessage="1" errorTitle="Invalid Entry" error="Invalid Entry" sqref="S9:S23" xr:uid="{393E21DF-C5B1-4746-AB4D-3450ADFDE535}">
      <formula1>INDIRECT(DP9)</formula1>
    </dataValidation>
    <dataValidation type="list" allowBlank="1" showInputMessage="1" showErrorMessage="1" errorTitle="Invalid Entry" error="Invalid Entry" sqref="D43:E52 N43:P52" xr:uid="{7066900D-5911-4034-B817-256D7A313783}">
      <formula1>ExtrasMaterial</formula1>
    </dataValidation>
    <dataValidation type="list" allowBlank="1" showInputMessage="1" showErrorMessage="1" errorTitle="Invalid Entry" error="Invalid Entry" sqref="G9:G23" xr:uid="{7B10907F-0855-4961-88BB-62490D10F96C}">
      <formula1>INDIRECT(SUBSTITUTE(AL9," ","_"))</formula1>
    </dataValidation>
    <dataValidation type="list" errorStyle="information" allowBlank="1" showInputMessage="1" showErrorMessage="1" errorTitle="Check Special Layout Code" error="The Layout Codes In This List Are The Most Common Codes._x000a__x000a_When Entering A Different Special Code, Please Refer To The Shutter Manual." sqref="P9:P23" xr:uid="{FC386FD5-8B63-4EBF-B8A5-B0DD460E1815}">
      <formula1>INDIRECT(SUBSTITUTE(DZ9," ","_"))</formula1>
    </dataValidation>
    <dataValidation type="list" allowBlank="1" showInputMessage="1" showErrorMessage="1" errorTitle="Invalid Entry" error="Invalid Entry" sqref="M9:M23" xr:uid="{DB9DC898-09E6-4703-9C76-FC1D8AD298F2}">
      <formula1>INDIRECT(SUBSTITUTE(GN9," ","_"))</formula1>
    </dataValidation>
    <dataValidation type="list" allowBlank="1" showInputMessage="1" showErrorMessage="1" errorTitle="Invalid Entry" error="Invalid Entry" sqref="W9" xr:uid="{C997A8CB-35D8-40BE-9F8F-CE9D07A2E053}">
      <formula1>INDIRECT(EV9)</formula1>
    </dataValidation>
    <dataValidation type="list" allowBlank="1" showInputMessage="1" showErrorMessage="1" errorTitle="Invalid Entry" error="Invalid Entry" sqref="AD6" xr:uid="{820A81B4-955D-4606-B844-5C69DE75877B}">
      <formula1>ShippingPort</formula1>
    </dataValidation>
    <dataValidation type="list" errorStyle="warning" allowBlank="1" showInputMessage="1" showErrorMessage="1" errorTitle="Invalid Entry" error="Invalid Entry" sqref="F3:J3" xr:uid="{69C24F0F-64CB-4F33-9751-25D877C2CC38}">
      <formula1>"shutterorders@pacificwholesale.com.au, service@pacificwholesale.com.au, salessupport@pacificwholesale.com.au, support@pacificwholesale.com.au"</formula1>
    </dataValidation>
    <dataValidation type="list" allowBlank="1" showInputMessage="1" showErrorMessage="1" errorTitle="Invalid Entry" error="Invalid Entry" sqref="X9:X23" xr:uid="{C2E4B566-AF08-4EC5-8274-1046FDCE315A}">
      <formula1>INDIRECT(GF9)</formula1>
    </dataValidation>
    <dataValidation type="list" allowBlank="1" showInputMessage="1" showErrorMessage="1" errorTitle="Invalid Entry" error="Invalid Entry" sqref="AD9:AD23" xr:uid="{12626DCB-3856-480F-8396-933CCFA69FDE}">
      <formula1>INDIRECT(GI9)</formula1>
    </dataValidation>
    <dataValidation type="list" allowBlank="1" showInputMessage="1" showErrorMessage="1" errorTitle="Invalid Entry" error="Invalid Entry" sqref="N9:N23" xr:uid="{54F7F0BC-CF84-49E8-85C9-C177FFD0B18D}">
      <formula1>INDIRECT(SUBSTITUTE(FR9," ","_"))</formula1>
    </dataValidation>
    <dataValidation type="list" allowBlank="1" showInputMessage="1" showErrorMessage="1" errorTitle="Invalid Entry" error="Invalid Entry" sqref="W10:W23" xr:uid="{8C7546F5-5B3F-4545-8375-D8CF6E6A6E04}">
      <formula1>INDIRECT(ET10)</formula1>
    </dataValidation>
    <dataValidation type="whole" errorStyle="information" allowBlank="1" showInputMessage="1" showErrorMessage="1" errorTitle="Be Aware" error="Minimum Fauxwood Eco Air Width is 180mm._x000a__x000a_Minimum Timber Eco Width is 250mm._x000a__x000a_Maximum Fauxwood Eco Air Width is 900mm._x000a__x000a_Maximum Timber Eco Width is 950mm." sqref="C9:C23" xr:uid="{2397BFFF-8310-4335-A5C9-CEF5F5EF09EB}">
      <formula1>180</formula1>
      <formula2>3600</formula2>
    </dataValidation>
    <dataValidation type="whole" errorStyle="warning" allowBlank="1" showInputMessage="1" showErrorMessage="1" errorTitle="Length Warning" error="Please note that only Fascia's are able to be made greater than 3000mm in length._x000a__x000a_Fascia's can be made to a maximum of 3600mm." sqref="C43:C52" xr:uid="{5ED805B2-02E7-4045-BCB6-3CA50D73AF78}">
      <formula1>0</formula1>
      <formula2>3000</formula2>
    </dataValidation>
    <dataValidation type="list" allowBlank="1" showInputMessage="1" showErrorMessage="1" sqref="E9:E23" xr:uid="{6A3B5456-36E2-4264-891B-885A8A81D76C}">
      <formula1>"IN,OUT,MS"</formula1>
    </dataValidation>
    <dataValidation type="whole" errorStyle="information" allowBlank="1" showInputMessage="1" showErrorMessage="1" errorTitle="Be Aware" error="Minimum Fauxwood Eco Air Height is 260mm._x000a__x000a_Minimum Timber Eco Height is 350mm._x000a__x000a_Maximum Fauxwood Eco Air Height is 2600mm._x000a__x000a_Maximum Timber Eco Height is 3000mm." sqref="D9:D23" xr:uid="{6A0FBCE7-2AE3-48D0-AC39-DC74F5BA4065}">
      <formula1>260</formula1>
      <formula2>3000</formula2>
    </dataValidation>
    <dataValidation allowBlank="1" errorTitle="Invalid Entry" error="Invalid Entry" sqref="N26:U40" xr:uid="{8138D647-67E1-4B60-ADCE-4CDA3D7DEB34}"/>
    <dataValidation type="list" allowBlank="1" showInputMessage="1" errorTitle="Invalid Enrty" error="Please select from List!" sqref="Z9:Z23" xr:uid="{A470E4C1-3E25-4BA8-843A-39EBD88111E9}">
      <formula1>"1,2,3,4,5,6"</formula1>
    </dataValidation>
    <dataValidation allowBlank="1" sqref="AG1:AG2 AF9:AG23" xr:uid="{63D12C83-4FF2-49B5-9D64-C624BD9FEFF8}"/>
    <dataValidation allowBlank="1" showInputMessage="1" showErrorMessage="1" errorTitle="Invalid Entry" error="Invalid Entry" sqref="BA9:BA23 K9:K23 AV9:AV23" xr:uid="{3828F814-72A3-4CF8-991D-029B460E51B4}"/>
    <dataValidation type="list" allowBlank="1" showInputMessage="1" showErrorMessage="1" errorTitle="Invalid Entry" error="Please select from list!" sqref="AV42:AV52" xr:uid="{C5BE2689-2156-47AD-8FF8-DFCDE64CA11A}">
      <formula1>Pelmet</formula1>
    </dataValidation>
    <dataValidation type="list" allowBlank="1" showInputMessage="1" showErrorMessage="1" errorTitle="Invalid Entry" error="Invalid Entry" sqref="K43:L52" xr:uid="{08E06287-74C5-46BF-B5B5-113BFB65CDB7}">
      <formula1>INDIRECT(BB43)</formula1>
    </dataValidation>
    <dataValidation type="list" allowBlank="1" showInputMessage="1" showErrorMessage="1" errorTitle="Invalid Entry" error="Invalid Entry" sqref="X43:X52" xr:uid="{A62FA4A9-FF01-43F6-9715-0B202C5E221F}">
      <formula1>INDIRECT(SUBSTITUTE(BG43," ","_"))</formula1>
    </dataValidation>
    <dataValidation type="list" allowBlank="1" showInputMessage="1" showErrorMessage="1" errorTitle="Invalid Entry" error="Invalid Entry" sqref="V43:W52" xr:uid="{60AB13E2-4F91-4DB3-B74F-EA1D6BD5DAAB}">
      <formula1>INDIRECT(SUBSTITUTE(BF43," ","_"))</formula1>
    </dataValidation>
    <dataValidation type="list" allowBlank="1" showInputMessage="1" showErrorMessage="1" errorTitle="Invalid Entry" error="Invalid Entry" sqref="Y43:Z52" xr:uid="{9AE397BB-F1FC-4876-826B-B48C048D0D56}">
      <formula1>INDIRECT(SUBSTITUTE(BG43," ","_"))</formula1>
    </dataValidation>
    <dataValidation type="list" allowBlank="1" showInputMessage="1" showErrorMessage="1" errorTitle="Invalid Entry" error="Invalid Entry" sqref="Y9:Y23" xr:uid="{A46ECE80-AF9B-4D69-9BC5-6BE8FC056C37}">
      <formula1>INDIRECT(DH9)</formula1>
    </dataValidation>
    <dataValidation type="list" allowBlank="1" showInputMessage="1" showErrorMessage="1" errorTitle="Invalid Entry" error="Please select from List!" sqref="J9:J23" xr:uid="{23F3FEAD-D7C7-4DE7-ADA6-B8097BDAF2EF}">
      <formula1>INDIRECT(SUBSTITUTE(DA9," ","_"))</formula1>
    </dataValidation>
    <dataValidation type="list" allowBlank="1" showInputMessage="1" showErrorMessage="1" errorTitle="Invalid Entry" error="Invalid Entry" sqref="H9:I23" xr:uid="{8CE5DF8B-4097-402C-8B53-563871185D1A}">
      <formula1>INDIRECT(SUBSTITUTE(G9," ","_"))</formula1>
    </dataValidation>
    <dataValidation type="list" allowBlank="1" showInputMessage="1" showErrorMessage="1" errorTitle="Invalid Entry" error="Invalid Entry" sqref="Q9:R23" xr:uid="{8D7C9330-D2BD-4380-8BB2-AB3CF60948AE}">
      <formula1>INDIRECT(SUBSTITUTE(FO9," ","_"))</formula1>
    </dataValidation>
  </dataValidations>
  <printOptions horizontalCentered="1"/>
  <pageMargins left="0.17" right="0.17" top="0.21" bottom="0.21" header="0.17" footer="0.17"/>
  <pageSetup paperSize="9" scale="38"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pageSetUpPr fitToPage="1"/>
  </sheetPr>
  <dimension ref="A1:ABC299"/>
  <sheetViews>
    <sheetView topLeftCell="FA170" zoomScale="130" zoomScaleNormal="130" workbookViewId="0">
      <selection activeCell="FF195" sqref="FF195"/>
    </sheetView>
  </sheetViews>
  <sheetFormatPr defaultColWidth="9.140625" defaultRowHeight="12.75"/>
  <cols>
    <col min="1" max="1" width="24.140625" customWidth="1"/>
    <col min="2" max="2" width="3" customWidth="1"/>
    <col min="3" max="3" width="8.85546875" customWidth="1"/>
    <col min="4" max="4" width="12.140625" customWidth="1"/>
    <col min="5" max="5" width="9.42578125" customWidth="1"/>
    <col min="6" max="6" width="13.5703125" customWidth="1"/>
    <col min="7" max="7" width="16.7109375" customWidth="1"/>
    <col min="8" max="8" width="20.140625" customWidth="1"/>
    <col min="9" max="9" width="3.28515625" customWidth="1"/>
    <col min="10" max="10" width="8.140625" customWidth="1"/>
    <col min="11" max="11" width="25" customWidth="1"/>
    <col min="12" max="12" width="29.7109375" customWidth="1"/>
    <col min="13" max="13" width="8.28515625" customWidth="1"/>
    <col min="14" max="14" width="20.7109375" customWidth="1"/>
    <col min="15" max="15" width="12.7109375" customWidth="1"/>
    <col min="16" max="16" width="12.140625" customWidth="1"/>
    <col min="17" max="17" width="5" customWidth="1"/>
    <col min="18" max="18" width="21.7109375" customWidth="1"/>
    <col min="19" max="19" width="17" customWidth="1"/>
    <col min="20" max="20" width="9.85546875" customWidth="1"/>
    <col min="21" max="21" width="34.5703125" customWidth="1"/>
    <col min="22" max="22" width="77.85546875" customWidth="1"/>
    <col min="23" max="23" width="21.7109375" bestFit="1" customWidth="1"/>
    <col min="24" max="24" width="3.42578125" customWidth="1"/>
    <col min="25" max="27" width="20.7109375" customWidth="1"/>
    <col min="28" max="28" width="27.140625" customWidth="1"/>
    <col min="29" max="29" width="21.140625" customWidth="1"/>
    <col min="30" max="30" width="19.140625" customWidth="1"/>
    <col min="31" max="31" width="23.85546875" customWidth="1"/>
    <col min="32" max="32" width="49.7109375" customWidth="1"/>
    <col min="33" max="33" width="3.85546875" customWidth="1"/>
    <col min="34" max="34" width="49.7109375" customWidth="1"/>
    <col min="35" max="36" width="19.140625" customWidth="1"/>
    <col min="37" max="37" width="22.85546875" customWidth="1"/>
    <col min="38" max="38" width="22.28515625" customWidth="1"/>
    <col min="39" max="39" width="9.140625" customWidth="1"/>
    <col min="40" max="41" width="19.5703125" customWidth="1"/>
    <col min="42" max="44" width="34.28515625" customWidth="1"/>
    <col min="45" max="46" width="9.140625" customWidth="1"/>
    <col min="47" max="47" width="22.140625" customWidth="1"/>
    <col min="48" max="48" width="9.140625" customWidth="1"/>
    <col min="49" max="49" width="122.42578125" customWidth="1"/>
    <col min="50" max="50" width="9.140625" customWidth="1"/>
    <col min="51" max="51" width="18" customWidth="1"/>
    <col min="52" max="52" width="9.140625" customWidth="1"/>
    <col min="53" max="53" width="34.7109375" customWidth="1"/>
    <col min="54" max="54" width="43.28515625" customWidth="1"/>
    <col min="55" max="55" width="19" customWidth="1"/>
    <col min="56" max="56" width="30.28515625" customWidth="1"/>
    <col min="57" max="57" width="18.85546875" customWidth="1"/>
    <col min="58" max="58" width="21" customWidth="1"/>
    <col min="59" max="60" width="22.5703125" customWidth="1"/>
    <col min="61" max="61" width="16.28515625" customWidth="1"/>
    <col min="62" max="62" width="19.7109375" customWidth="1"/>
    <col min="63" max="63" width="26.7109375" customWidth="1"/>
    <col min="64" max="64" width="9.140625" customWidth="1"/>
    <col min="65" max="65" width="24.7109375" customWidth="1"/>
    <col min="66" max="66" width="32" bestFit="1" customWidth="1"/>
    <col min="67" max="70" width="25.140625" bestFit="1" customWidth="1"/>
    <col min="71" max="71" width="13.140625" customWidth="1"/>
    <col min="72" max="72" width="11.7109375" customWidth="1"/>
    <col min="73" max="73" width="24" customWidth="1"/>
    <col min="74" max="74" width="9.140625" customWidth="1"/>
    <col min="75" max="75" width="14.5703125" customWidth="1"/>
    <col min="76" max="76" width="9.140625" customWidth="1"/>
    <col min="77" max="77" width="20.85546875" customWidth="1"/>
    <col min="78" max="78" width="9.140625" customWidth="1"/>
    <col min="79" max="79" width="20.85546875" customWidth="1"/>
    <col min="80" max="81" width="9.140625" customWidth="1"/>
    <col min="82" max="82" width="24.42578125" customWidth="1"/>
    <col min="83" max="83" width="22" customWidth="1"/>
    <col min="84" max="86" width="17.85546875" customWidth="1"/>
    <col min="87" max="90" width="9.140625" customWidth="1"/>
    <col min="91" max="91" width="10.5703125" customWidth="1"/>
    <col min="92" max="92" width="12.85546875" customWidth="1"/>
    <col min="93" max="93" width="18" customWidth="1"/>
    <col min="94" max="96" width="9.140625" customWidth="1"/>
    <col min="97" max="97" width="15" customWidth="1"/>
    <col min="98" max="98" width="29.7109375" customWidth="1"/>
    <col min="99" max="99" width="17.7109375" customWidth="1"/>
    <col min="100" max="100" width="16.5703125" customWidth="1"/>
    <col min="101" max="101" width="17.85546875" customWidth="1"/>
    <col min="102" max="105" width="17.7109375" customWidth="1"/>
    <col min="106" max="107" width="9.140625" customWidth="1"/>
    <col min="108" max="108" width="12" customWidth="1"/>
    <col min="109" max="109" width="19.7109375" customWidth="1"/>
    <col min="110" max="110" width="9.140625" customWidth="1"/>
    <col min="111" max="111" width="21" customWidth="1"/>
    <col min="112" max="112" width="9.140625" customWidth="1"/>
    <col min="113" max="115" width="24.28515625" customWidth="1"/>
    <col min="116" max="116" width="14.5703125" customWidth="1"/>
    <col min="117" max="118" width="9.140625" customWidth="1"/>
    <col min="119" max="119" width="20.5703125" customWidth="1"/>
    <col min="120" max="120" width="15.140625" customWidth="1"/>
    <col min="121" max="121" width="15.5703125" customWidth="1"/>
    <col min="122" max="122" width="11.140625" style="195" customWidth="1"/>
    <col min="123" max="123" width="18.140625" style="195" customWidth="1"/>
    <col min="124" max="124" width="17.5703125" style="195" customWidth="1"/>
    <col min="125" max="125" width="14.140625" style="195" customWidth="1"/>
    <col min="126" max="126" width="11" style="195" customWidth="1"/>
    <col min="127" max="127" width="16.28515625" style="195" customWidth="1"/>
    <col min="128" max="128" width="9.140625" customWidth="1"/>
    <col min="129" max="129" width="14.140625" style="195" customWidth="1"/>
    <col min="130" max="130" width="16.7109375" style="195" customWidth="1"/>
    <col min="131" max="131" width="16.140625" style="195" customWidth="1"/>
    <col min="132" max="132" width="9.7109375" style="195" customWidth="1"/>
    <col min="133" max="133" width="11" style="195" customWidth="1"/>
    <col min="134" max="134" width="15" style="195" customWidth="1"/>
    <col min="135" max="135" width="9.140625" style="195" customWidth="1"/>
    <col min="136" max="136" width="9.140625" customWidth="1"/>
    <col min="137" max="137" width="11" customWidth="1"/>
    <col min="138" max="139" width="9.140625" customWidth="1"/>
    <col min="140" max="140" width="29.85546875" customWidth="1"/>
    <col min="141" max="141" width="9.140625" customWidth="1"/>
    <col min="142" max="142" width="47.140625" customWidth="1"/>
    <col min="143" max="145" width="55.5703125" bestFit="1" customWidth="1"/>
    <col min="146" max="146" width="9.140625" customWidth="1"/>
    <col min="147" max="147" width="25.5703125" customWidth="1"/>
    <col min="148" max="148" width="24.42578125" customWidth="1"/>
    <col min="149" max="149" width="27" customWidth="1"/>
    <col min="150" max="150" width="24.140625" customWidth="1"/>
    <col min="151" max="151" width="17.5703125" customWidth="1"/>
    <col min="152" max="152" width="9.140625" customWidth="1"/>
    <col min="153" max="153" width="15.42578125" customWidth="1"/>
    <col min="154" max="154" width="15.28515625" customWidth="1"/>
    <col min="155" max="155" width="23.85546875" customWidth="1"/>
    <col min="156" max="156" width="9.140625" customWidth="1"/>
    <col min="157" max="157" width="34.7109375" bestFit="1" customWidth="1"/>
    <col min="158" max="158" width="30.85546875" bestFit="1" customWidth="1"/>
    <col min="159" max="159" width="34.140625" customWidth="1"/>
    <col min="160" max="160" width="9.140625" customWidth="1"/>
    <col min="161" max="161" width="25.85546875" bestFit="1" customWidth="1"/>
    <col min="162" max="162" width="76.85546875" customWidth="1"/>
    <col min="163" max="163" width="70.42578125" customWidth="1"/>
    <col min="164" max="164" width="42.28515625" customWidth="1"/>
    <col min="165" max="165" width="29.42578125" customWidth="1"/>
    <col min="166" max="166" width="25.140625" customWidth="1"/>
    <col min="167" max="167" width="27" customWidth="1"/>
    <col min="168" max="168" width="29.5703125" customWidth="1"/>
    <col min="169" max="170" width="23" customWidth="1"/>
    <col min="171" max="171" width="27" customWidth="1"/>
    <col min="172" max="172" width="44.5703125" customWidth="1"/>
    <col min="173" max="173" width="9.140625" customWidth="1"/>
    <col min="174" max="174" width="40.7109375" customWidth="1"/>
    <col min="175" max="176" width="38" customWidth="1"/>
    <col min="177" max="177" width="36.85546875" customWidth="1"/>
    <col min="178" max="180" width="40.7109375" customWidth="1"/>
    <col min="181" max="181" width="34.28515625" customWidth="1"/>
    <col min="182" max="182" width="27.7109375" customWidth="1"/>
    <col min="183" max="183" width="34.7109375" customWidth="1"/>
    <col min="184" max="184" width="28.140625" customWidth="1"/>
    <col min="185" max="185" width="20.42578125" customWidth="1"/>
    <col min="186" max="187" width="30.28515625" customWidth="1"/>
    <col min="188" max="188" width="30.85546875" customWidth="1"/>
    <col min="189" max="189" width="29.140625" customWidth="1"/>
    <col min="190" max="190" width="32.42578125" customWidth="1"/>
    <col min="191" max="191" width="43.28515625" bestFit="1" customWidth="1"/>
    <col min="192" max="192" width="34.140625" customWidth="1"/>
    <col min="193" max="193" width="34.7109375" bestFit="1" customWidth="1"/>
    <col min="194" max="194" width="60" bestFit="1" customWidth="1"/>
    <col min="195" max="195" width="46.85546875" bestFit="1" customWidth="1"/>
    <col min="196" max="196" width="34.85546875" customWidth="1"/>
    <col min="197" max="197" width="49.5703125" customWidth="1"/>
    <col min="198" max="198" width="28.28515625" customWidth="1"/>
    <col min="199" max="199" width="20.5703125" customWidth="1"/>
    <col min="200" max="200" width="13.7109375" customWidth="1"/>
    <col min="201" max="201" width="49.7109375" bestFit="1" customWidth="1"/>
    <col min="202" max="202" width="41.42578125" customWidth="1"/>
    <col min="203" max="204" width="30.42578125" customWidth="1"/>
    <col min="205" max="205" width="18.42578125" customWidth="1"/>
    <col min="206" max="206" width="67" customWidth="1"/>
    <col min="207" max="207" width="58" customWidth="1"/>
    <col min="208" max="208" width="43.28515625" customWidth="1"/>
    <col min="209" max="209" width="12.42578125" customWidth="1"/>
    <col min="210" max="210" width="14.85546875" customWidth="1"/>
    <col min="211" max="211" width="19.5703125" customWidth="1"/>
    <col min="212" max="212" width="13.140625" customWidth="1"/>
    <col min="213" max="213" width="13.28515625" customWidth="1"/>
    <col min="214" max="214" width="27.28515625" customWidth="1"/>
    <col min="215" max="215" width="21.42578125" customWidth="1"/>
    <col min="216" max="216" width="12.7109375" customWidth="1"/>
    <col min="217" max="217" width="13.5703125" customWidth="1"/>
    <col min="218" max="218" width="12.5703125" customWidth="1"/>
    <col min="219" max="219" width="17.7109375" customWidth="1"/>
    <col min="220" max="220" width="16.28515625" customWidth="1"/>
    <col min="221" max="222" width="19" customWidth="1"/>
    <col min="223" max="223" width="11.7109375" customWidth="1"/>
    <col min="224" max="224" width="14.7109375" customWidth="1"/>
    <col min="225" max="226" width="18.85546875" customWidth="1"/>
    <col min="227" max="227" width="14" customWidth="1"/>
    <col min="228" max="228" width="16.28515625" customWidth="1"/>
    <col min="229" max="229" width="20.42578125" customWidth="1"/>
    <col min="230" max="230" width="9.140625" customWidth="1"/>
    <col min="231" max="231" width="36.85546875" bestFit="1" customWidth="1"/>
    <col min="232" max="232" width="62.85546875" bestFit="1" customWidth="1"/>
    <col min="233" max="233" width="40.28515625" customWidth="1"/>
    <col min="234" max="234" width="36.140625" customWidth="1"/>
    <col min="235" max="235" width="36.85546875" customWidth="1"/>
    <col min="236" max="236" width="11.85546875" customWidth="1"/>
    <col min="237" max="238" width="35.42578125" customWidth="1"/>
    <col min="239" max="239" width="10.5703125" customWidth="1"/>
    <col min="240" max="240" width="12.85546875" customWidth="1"/>
    <col min="241" max="241" width="19.85546875" customWidth="1"/>
    <col min="242" max="243" width="18.85546875" customWidth="1"/>
    <col min="244" max="244" width="12.140625" customWidth="1"/>
    <col min="245" max="245" width="9" customWidth="1"/>
    <col min="246" max="246" width="16.85546875" customWidth="1"/>
    <col min="247" max="247" width="14.5703125" customWidth="1"/>
    <col min="248" max="248" width="28" customWidth="1"/>
    <col min="249" max="249" width="13.7109375" customWidth="1"/>
    <col min="250" max="250" width="14.42578125" customWidth="1"/>
    <col min="251" max="251" width="9.5703125" customWidth="1"/>
    <col min="252" max="252" width="13.85546875" customWidth="1"/>
    <col min="253" max="253" width="19.85546875" customWidth="1"/>
    <col min="254" max="254" width="21" customWidth="1"/>
    <col min="255" max="255" width="21.85546875" customWidth="1"/>
    <col min="256" max="256" width="25.140625" bestFit="1" customWidth="1"/>
    <col min="257" max="257" width="25" bestFit="1" customWidth="1"/>
    <col min="258" max="258" width="27.28515625" customWidth="1"/>
    <col min="259" max="259" width="23.85546875" customWidth="1"/>
    <col min="260" max="260" width="14.85546875" customWidth="1"/>
    <col min="261" max="261" width="9.140625" customWidth="1"/>
    <col min="262" max="262" width="11.5703125" customWidth="1"/>
    <col min="263" max="263" width="17.42578125" customWidth="1"/>
    <col min="264" max="264" width="14.7109375" customWidth="1"/>
    <col min="265" max="265" width="13" customWidth="1"/>
    <col min="266" max="266" width="13.28515625" customWidth="1"/>
    <col min="267" max="267" width="14.85546875" customWidth="1"/>
    <col min="268" max="268" width="19" customWidth="1"/>
    <col min="269" max="269" width="17.5703125" customWidth="1"/>
    <col min="270" max="271" width="12.7109375" customWidth="1"/>
    <col min="272" max="272" width="22.28515625" customWidth="1"/>
    <col min="273" max="273" width="12.7109375" customWidth="1"/>
    <col min="274" max="274" width="21.7109375" customWidth="1"/>
    <col min="275" max="275" width="12.7109375" customWidth="1"/>
    <col min="276" max="276" width="26.28515625" customWidth="1"/>
    <col min="277" max="283" width="12.7109375" customWidth="1"/>
    <col min="284" max="284" width="9.140625" customWidth="1"/>
    <col min="285" max="285" width="38.42578125" customWidth="1"/>
    <col min="286" max="286" width="36.140625" customWidth="1"/>
    <col min="287" max="287" width="9.140625" customWidth="1"/>
    <col min="288" max="288" width="29.140625" customWidth="1"/>
    <col min="289" max="289" width="26.42578125" customWidth="1"/>
    <col min="290" max="290" width="24.140625" customWidth="1"/>
    <col min="291" max="291" width="9.140625" customWidth="1"/>
    <col min="292" max="292" width="16" customWidth="1"/>
    <col min="293" max="293" width="37.140625" customWidth="1"/>
    <col min="294" max="296" width="9.140625" customWidth="1"/>
    <col min="297" max="297" width="17.42578125" customWidth="1"/>
    <col min="298" max="298" width="9.140625" customWidth="1"/>
    <col min="299" max="299" width="31" customWidth="1"/>
    <col min="300" max="301" width="17.42578125" customWidth="1"/>
    <col min="302" max="302" width="21.7109375" customWidth="1"/>
    <col min="303" max="303" width="49.7109375" customWidth="1"/>
    <col min="304" max="304" width="31.7109375" customWidth="1"/>
    <col min="305" max="305" width="27.5703125" customWidth="1"/>
    <col min="306" max="306" width="23.42578125" customWidth="1"/>
    <col min="307" max="307" width="9.140625" customWidth="1"/>
    <col min="308" max="308" width="49.7109375" customWidth="1"/>
    <col min="309" max="309" width="9.140625" customWidth="1"/>
    <col min="310" max="310" width="14.85546875" customWidth="1"/>
    <col min="311" max="311" width="22.5703125" customWidth="1"/>
    <col min="312" max="312" width="11" customWidth="1"/>
    <col min="313" max="313" width="11.7109375" customWidth="1"/>
    <col min="314" max="314" width="16" customWidth="1"/>
    <col min="315" max="315" width="13.28515625" customWidth="1"/>
    <col min="316" max="316" width="24.28515625" customWidth="1"/>
    <col min="317" max="321" width="9.140625" customWidth="1"/>
    <col min="322" max="322" width="15.28515625" customWidth="1"/>
    <col min="323" max="326" width="9.140625" customWidth="1"/>
    <col min="327" max="327" width="17.7109375" customWidth="1"/>
    <col min="328" max="328" width="33.85546875" customWidth="1"/>
    <col min="329" max="329" width="32" customWidth="1"/>
    <col min="330" max="330" width="49.7109375" customWidth="1"/>
    <col min="331" max="331" width="33.85546875" customWidth="1"/>
    <col min="332" max="332" width="33" customWidth="1"/>
    <col min="333" max="333" width="48.85546875" customWidth="1"/>
    <col min="334" max="334" width="8.42578125" customWidth="1"/>
    <col min="335" max="335" width="47.140625" customWidth="1"/>
    <col min="336" max="340" width="27.42578125" style="195" customWidth="1"/>
    <col min="341" max="341" width="18" customWidth="1"/>
    <col min="342" max="342" width="12.28515625" style="195" customWidth="1"/>
    <col min="343" max="345" width="20.5703125" style="195" customWidth="1"/>
    <col min="346" max="346" width="33.85546875" customWidth="1"/>
    <col min="347" max="347" width="32" customWidth="1"/>
    <col min="348" max="348" width="26.42578125" customWidth="1"/>
    <col min="349" max="349" width="20.5703125" customWidth="1"/>
    <col min="350" max="350" width="9.42578125" customWidth="1"/>
    <col min="351" max="351" width="12.28515625" customWidth="1"/>
    <col min="352" max="352" width="23.7109375" customWidth="1"/>
    <col min="353" max="354" width="12.28515625" customWidth="1"/>
    <col min="355" max="358" width="9.140625" customWidth="1"/>
    <col min="359" max="359" width="15.140625" customWidth="1"/>
    <col min="360" max="361" width="9.140625" customWidth="1"/>
    <col min="362" max="362" width="21.42578125" customWidth="1"/>
    <col min="363" max="366" width="9.140625" customWidth="1"/>
    <col min="367" max="367" width="14.42578125" customWidth="1"/>
    <col min="368" max="368" width="28" customWidth="1"/>
    <col min="369" max="369" width="12.28515625" customWidth="1"/>
    <col min="370" max="377" width="9.140625" customWidth="1"/>
    <col min="378" max="378" width="30" customWidth="1"/>
    <col min="379" max="379" width="20.140625" customWidth="1"/>
    <col min="380" max="380" width="23.28515625" customWidth="1"/>
    <col min="381" max="381" width="23.7109375" customWidth="1"/>
    <col min="382" max="382" width="26.140625" customWidth="1"/>
    <col min="383" max="383" width="25.7109375" customWidth="1"/>
    <col min="384" max="384" width="28" customWidth="1"/>
    <col min="385" max="385" width="23.5703125" customWidth="1"/>
    <col min="386" max="386" width="26" customWidth="1"/>
    <col min="387" max="387" width="26.5703125" customWidth="1"/>
    <col min="388" max="388" width="23.5703125" customWidth="1"/>
    <col min="389" max="389" width="26.28515625" customWidth="1"/>
    <col min="390" max="390" width="20.5703125" customWidth="1"/>
    <col min="391" max="391" width="18.140625" customWidth="1"/>
    <col min="392" max="392" width="22.5703125" customWidth="1"/>
    <col min="393" max="393" width="17.140625" customWidth="1"/>
    <col min="394" max="394" width="29.85546875" bestFit="1" customWidth="1"/>
    <col min="395" max="395" width="14.28515625" customWidth="1"/>
    <col min="396" max="396" width="31" customWidth="1"/>
    <col min="397" max="397" width="31" bestFit="1" customWidth="1"/>
    <col min="398" max="398" width="13" customWidth="1"/>
    <col min="399" max="401" width="9.140625" customWidth="1"/>
    <col min="402" max="402" width="20.85546875" customWidth="1"/>
    <col min="403" max="417" width="9.140625" customWidth="1"/>
    <col min="418" max="418" width="7.140625" customWidth="1"/>
    <col min="419" max="419" width="19" customWidth="1"/>
    <col min="420" max="420" width="21.7109375" customWidth="1"/>
    <col min="421" max="421" width="10.42578125" customWidth="1"/>
    <col min="422" max="422" width="7.7109375" customWidth="1"/>
    <col min="423" max="423" width="10.5703125" customWidth="1"/>
    <col min="424" max="424" width="7.7109375" customWidth="1"/>
    <col min="425" max="425" width="19" customWidth="1"/>
    <col min="426" max="426" width="21.7109375" customWidth="1"/>
    <col min="427" max="427" width="9.85546875" customWidth="1"/>
    <col min="428" max="428" width="7.140625" customWidth="1"/>
    <col min="429" max="436" width="9.140625" customWidth="1"/>
    <col min="437" max="437" width="47.5703125" customWidth="1"/>
    <col min="438" max="438" width="24" customWidth="1"/>
    <col min="439" max="439" width="23.42578125" customWidth="1"/>
    <col min="440" max="440" width="19.85546875" customWidth="1"/>
    <col min="441" max="441" width="23.28515625" customWidth="1"/>
    <col min="442" max="442" width="24.7109375" customWidth="1"/>
    <col min="443" max="443" width="19.42578125" customWidth="1"/>
    <col min="444" max="445" width="24.7109375" customWidth="1"/>
    <col min="446" max="446" width="19.42578125" customWidth="1"/>
    <col min="447" max="447" width="23.140625" customWidth="1"/>
    <col min="448" max="448" width="20.42578125" customWidth="1"/>
    <col min="449" max="449" width="30" customWidth="1"/>
    <col min="450" max="450" width="33.28515625" customWidth="1"/>
    <col min="451" max="451" width="9.140625" customWidth="1"/>
    <col min="452" max="452" width="12.5703125" customWidth="1"/>
    <col min="453" max="453" width="49.42578125" bestFit="1" customWidth="1"/>
    <col min="454" max="454" width="56" customWidth="1"/>
    <col min="455" max="455" width="20.85546875" customWidth="1"/>
    <col min="456" max="456" width="49.85546875" customWidth="1"/>
    <col min="457" max="457" width="58.85546875" customWidth="1"/>
    <col min="458" max="458" width="50.5703125" customWidth="1"/>
    <col min="459" max="459" width="51.7109375" customWidth="1"/>
    <col min="460" max="460" width="48.85546875" customWidth="1"/>
    <col min="461" max="461" width="44.5703125" customWidth="1"/>
    <col min="462" max="462" width="43.85546875" customWidth="1"/>
    <col min="463" max="463" width="46.28515625" customWidth="1"/>
    <col min="464" max="464" width="35.5703125" bestFit="1" customWidth="1"/>
    <col min="465" max="465" width="36.85546875" bestFit="1" customWidth="1"/>
    <col min="466" max="469" width="9.140625" customWidth="1"/>
    <col min="470" max="470" width="27.140625" customWidth="1"/>
    <col min="471" max="471" width="31.140625" customWidth="1"/>
    <col min="472" max="472" width="20.85546875" customWidth="1"/>
    <col min="473" max="473" width="27.7109375" customWidth="1"/>
    <col min="474" max="475" width="20.85546875" customWidth="1"/>
    <col min="476" max="476" width="29.140625" customWidth="1"/>
    <col min="477" max="478" width="20.85546875" customWidth="1"/>
    <col min="479" max="479" width="29.140625" customWidth="1"/>
    <col min="480" max="482" width="20.85546875" customWidth="1"/>
    <col min="483" max="488" width="9.140625" customWidth="1"/>
    <col min="489" max="489" width="27.5703125" customWidth="1"/>
    <col min="490" max="490" width="22" customWidth="1"/>
    <col min="491" max="491" width="20.85546875" customWidth="1"/>
    <col min="492" max="497" width="9.140625" customWidth="1"/>
    <col min="498" max="499" width="42.5703125" customWidth="1"/>
    <col min="500" max="501" width="40.140625" customWidth="1"/>
    <col min="502" max="503" width="39.85546875" customWidth="1"/>
    <col min="504" max="505" width="40.5703125" customWidth="1"/>
    <col min="506" max="506" width="39.42578125" customWidth="1"/>
    <col min="507" max="507" width="42.7109375" customWidth="1"/>
    <col min="508" max="508" width="41.140625" customWidth="1"/>
    <col min="509" max="509" width="42.7109375" customWidth="1"/>
    <col min="510" max="510" width="41.140625" customWidth="1"/>
    <col min="511" max="511" width="39.85546875" customWidth="1"/>
    <col min="512" max="512" width="43.140625" customWidth="1"/>
    <col min="513" max="513" width="40.7109375" customWidth="1"/>
    <col min="514" max="520" width="9.140625" customWidth="1"/>
    <col min="521" max="521" width="27" customWidth="1"/>
    <col min="522" max="522" width="40.5703125" customWidth="1"/>
    <col min="523" max="523" width="43.7109375" customWidth="1"/>
    <col min="524" max="530" width="40.5703125" customWidth="1"/>
    <col min="531" max="531" width="42.140625" customWidth="1"/>
    <col min="532" max="532" width="49.5703125" customWidth="1"/>
    <col min="533" max="535" width="47" customWidth="1"/>
    <col min="536" max="537" width="47.7109375" customWidth="1"/>
    <col min="538" max="538" width="46.5703125" customWidth="1"/>
    <col min="539" max="539" width="49.7109375" customWidth="1"/>
    <col min="540" max="540" width="48.28515625" customWidth="1"/>
    <col min="541" max="541" width="55.85546875" customWidth="1"/>
    <col min="542" max="542" width="48.28515625" customWidth="1"/>
    <col min="543" max="543" width="47" customWidth="1"/>
    <col min="544" max="544" width="48.42578125" customWidth="1"/>
    <col min="545" max="547" width="9.140625" customWidth="1"/>
    <col min="548" max="548" width="43.85546875" customWidth="1"/>
    <col min="549" max="549" width="31.28515625" customWidth="1"/>
    <col min="550" max="550" width="21.7109375" customWidth="1"/>
    <col min="551" max="551" width="22.42578125" customWidth="1"/>
    <col min="552" max="552" width="32.7109375" customWidth="1"/>
    <col min="553" max="553" width="23.140625" customWidth="1"/>
    <col min="554" max="554" width="23.85546875" customWidth="1"/>
    <col min="555" max="555" width="34.28515625" customWidth="1"/>
    <col min="556" max="556" width="21" customWidth="1"/>
    <col min="557" max="557" width="21.85546875" customWidth="1"/>
    <col min="558" max="558" width="32.140625" customWidth="1"/>
    <col min="559" max="559" width="37.140625" customWidth="1"/>
    <col min="560" max="560" width="43.85546875" customWidth="1"/>
    <col min="561" max="561" width="22.28515625" bestFit="1" customWidth="1"/>
    <col min="562" max="566" width="9.140625" customWidth="1"/>
    <col min="567" max="567" width="23" customWidth="1"/>
    <col min="568" max="568" width="32" customWidth="1"/>
    <col min="569" max="569" width="31.85546875" customWidth="1"/>
    <col min="570" max="570" width="33" customWidth="1"/>
    <col min="571" max="571" width="41.28515625" customWidth="1"/>
    <col min="572" max="572" width="27.7109375" customWidth="1"/>
    <col min="573" max="573" width="30.140625" customWidth="1"/>
    <col min="574" max="574" width="37.28515625" customWidth="1"/>
    <col min="575" max="575" width="28.28515625" customWidth="1"/>
    <col min="576" max="576" width="29" customWidth="1"/>
    <col min="577" max="577" width="39.42578125" customWidth="1"/>
    <col min="578" max="578" width="26.28515625" customWidth="1"/>
    <col min="579" max="579" width="31.140625" customWidth="1"/>
    <col min="580" max="580" width="37.28515625" customWidth="1"/>
    <col min="581" max="581" width="27.7109375" customWidth="1"/>
    <col min="582" max="582" width="30" customWidth="1"/>
    <col min="583" max="583" width="26.85546875" customWidth="1"/>
    <col min="584" max="584" width="27.5703125" customWidth="1"/>
    <col min="585" max="585" width="37.28515625" customWidth="1"/>
    <col min="586" max="586" width="28.28515625" customWidth="1"/>
    <col min="587" max="587" width="29" customWidth="1"/>
    <col min="588" max="588" width="38.85546875" customWidth="1"/>
    <col min="589" max="589" width="26.28515625" customWidth="1"/>
    <col min="590" max="590" width="27" customWidth="1"/>
    <col min="591" max="591" width="36.7109375" customWidth="1"/>
    <col min="592" max="592" width="27.7109375" customWidth="1"/>
    <col min="593" max="593" width="30" customWidth="1"/>
    <col min="594" max="594" width="27.42578125" customWidth="1"/>
    <col min="595" max="595" width="29.85546875" customWidth="1"/>
    <col min="596" max="596" width="38" customWidth="1"/>
    <col min="597" max="597" width="28.85546875" customWidth="1"/>
    <col min="598" max="598" width="29.7109375" customWidth="1"/>
    <col min="599" max="599" width="39.42578125" customWidth="1"/>
    <col min="600" max="600" width="26.85546875" customWidth="1"/>
    <col min="601" max="601" width="31.140625" customWidth="1"/>
    <col min="602" max="602" width="37.28515625" customWidth="1"/>
    <col min="603" max="603" width="28.28515625" customWidth="1"/>
    <col min="604" max="604" width="30.5703125" customWidth="1"/>
    <col min="605" max="609" width="9.140625" customWidth="1"/>
    <col min="610" max="610" width="21.28515625" customWidth="1"/>
    <col min="611" max="612" width="38.42578125" customWidth="1"/>
    <col min="613" max="613" width="39" customWidth="1"/>
    <col min="614" max="620" width="9.140625" customWidth="1"/>
    <col min="621" max="621" width="18" customWidth="1"/>
    <col min="622" max="622" width="9.140625" customWidth="1"/>
    <col min="623" max="623" width="26.7109375" customWidth="1"/>
    <col min="624" max="624" width="17.85546875" customWidth="1"/>
    <col min="625" max="625" width="20.5703125" customWidth="1"/>
    <col min="626" max="627" width="17.42578125" customWidth="1"/>
    <col min="628" max="628" width="18.85546875" customWidth="1"/>
    <col min="629" max="629" width="17.7109375" customWidth="1"/>
    <col min="630" max="630" width="20.7109375" customWidth="1"/>
    <col min="631" max="631" width="18.5703125" customWidth="1"/>
    <col min="632" max="632" width="39" customWidth="1"/>
    <col min="633" max="633" width="42.28515625" customWidth="1"/>
    <col min="634" max="635" width="9.140625" customWidth="1"/>
    <col min="636" max="636" width="27.5703125" customWidth="1"/>
    <col min="637" max="637" width="21.7109375" customWidth="1"/>
    <col min="638" max="638" width="22.42578125" customWidth="1"/>
    <col min="639" max="639" width="32.7109375" customWidth="1"/>
    <col min="640" max="640" width="23.140625" customWidth="1"/>
    <col min="641" max="641" width="23.85546875" customWidth="1"/>
    <col min="642" max="642" width="34.28515625" customWidth="1"/>
    <col min="643" max="643" width="21" customWidth="1"/>
    <col min="644" max="644" width="21.85546875" customWidth="1"/>
    <col min="645" max="645" width="32.140625" customWidth="1"/>
    <col min="646" max="646" width="22.5703125" customWidth="1"/>
    <col min="647" max="647" width="24.7109375" customWidth="1"/>
    <col min="648" max="648" width="30" customWidth="1"/>
    <col min="649" max="649" width="9.140625" customWidth="1"/>
    <col min="650" max="650" width="24.28515625" customWidth="1"/>
    <col min="652" max="652" width="27.5703125" bestFit="1" customWidth="1"/>
    <col min="655" max="655" width="27.5703125" bestFit="1" customWidth="1"/>
    <col min="657" max="657" width="27.5703125" bestFit="1" customWidth="1"/>
    <col min="661" max="661" width="17.42578125" bestFit="1" customWidth="1"/>
    <col min="662" max="662" width="19.28515625" customWidth="1"/>
    <col min="663" max="663" width="18.42578125" customWidth="1"/>
    <col min="678" max="678" width="23" customWidth="1"/>
    <col min="679" max="679" width="16" customWidth="1"/>
    <col min="680" max="680" width="29.140625" customWidth="1"/>
    <col min="681" max="681" width="24.5703125" bestFit="1" customWidth="1"/>
    <col min="682" max="682" width="14.140625" bestFit="1" customWidth="1"/>
    <col min="688" max="689" width="17.140625" customWidth="1"/>
    <col min="690" max="690" width="27" bestFit="1" customWidth="1"/>
    <col min="691" max="691" width="32" customWidth="1"/>
    <col min="692" max="697" width="63.42578125" bestFit="1" customWidth="1"/>
    <col min="706" max="706" width="11.85546875" bestFit="1" customWidth="1"/>
    <col min="707" max="707" width="21.42578125" bestFit="1" customWidth="1"/>
    <col min="708" max="708" width="26.85546875" customWidth="1"/>
    <col min="709" max="709" width="24.85546875" bestFit="1" customWidth="1"/>
    <col min="710" max="710" width="23.42578125" bestFit="1" customWidth="1"/>
    <col min="711" max="711" width="27" bestFit="1" customWidth="1"/>
    <col min="712" max="715" width="32.5703125" customWidth="1"/>
    <col min="716" max="716" width="32.42578125" bestFit="1" customWidth="1"/>
    <col min="720" max="720" width="20.85546875" customWidth="1"/>
    <col min="721" max="721" width="18.140625" customWidth="1"/>
    <col min="727" max="728" width="17.42578125" customWidth="1"/>
    <col min="729" max="729" width="28.85546875" customWidth="1"/>
    <col min="730" max="730" width="10.42578125" bestFit="1" customWidth="1"/>
    <col min="731" max="731" width="12.28515625" bestFit="1" customWidth="1"/>
  </cols>
  <sheetData>
    <row r="1" spans="1:731" ht="15">
      <c r="A1" t="s">
        <v>127</v>
      </c>
      <c r="B1">
        <v>35</v>
      </c>
      <c r="C1" t="s">
        <v>128</v>
      </c>
      <c r="D1" t="s">
        <v>129</v>
      </c>
      <c r="E1" t="s">
        <v>130</v>
      </c>
      <c r="F1" t="s">
        <v>131</v>
      </c>
      <c r="G1" t="s">
        <v>132</v>
      </c>
      <c r="H1" t="s">
        <v>133</v>
      </c>
      <c r="I1" t="s">
        <v>134</v>
      </c>
      <c r="J1">
        <v>1000</v>
      </c>
      <c r="K1" t="s">
        <v>135</v>
      </c>
      <c r="L1" s="6" t="s">
        <v>139</v>
      </c>
      <c r="M1">
        <v>110</v>
      </c>
      <c r="N1" t="s">
        <v>123</v>
      </c>
      <c r="O1">
        <v>215205</v>
      </c>
      <c r="P1" t="s">
        <v>124</v>
      </c>
      <c r="Q1">
        <v>2234</v>
      </c>
      <c r="R1" t="s">
        <v>125</v>
      </c>
      <c r="S1" t="s">
        <v>126</v>
      </c>
      <c r="T1">
        <v>1973</v>
      </c>
      <c r="V1" s="1" t="s">
        <v>977</v>
      </c>
      <c r="W1" s="35"/>
      <c r="X1" s="35"/>
      <c r="Y1" s="38"/>
      <c r="Z1" s="38" t="s">
        <v>217</v>
      </c>
      <c r="AA1" s="38"/>
      <c r="AB1" s="38"/>
      <c r="AC1" s="38"/>
      <c r="AD1" s="38"/>
      <c r="AE1" s="38"/>
      <c r="AF1" s="38"/>
      <c r="AG1" s="38"/>
      <c r="AH1" s="38"/>
      <c r="AI1" s="38"/>
      <c r="AJ1" s="38" t="s">
        <v>231</v>
      </c>
      <c r="AK1" s="195" t="s">
        <v>943</v>
      </c>
      <c r="AL1" s="38" t="s">
        <v>212</v>
      </c>
      <c r="AN1" s="38" t="s">
        <v>237</v>
      </c>
      <c r="AO1" s="38"/>
      <c r="AP1" s="38" t="s">
        <v>277</v>
      </c>
      <c r="AQ1" s="38" t="s">
        <v>287</v>
      </c>
      <c r="AR1" s="38" t="s">
        <v>294</v>
      </c>
      <c r="AU1" s="717"/>
      <c r="AV1" s="717"/>
      <c r="AW1" s="717"/>
      <c r="AX1" s="717"/>
      <c r="AY1" s="717"/>
      <c r="EW1" t="s">
        <v>148</v>
      </c>
      <c r="FA1" t="s">
        <v>614</v>
      </c>
      <c r="FF1" t="s">
        <v>641</v>
      </c>
      <c r="FG1" s="217" t="s">
        <v>1550</v>
      </c>
      <c r="FH1" s="217" t="s">
        <v>1551</v>
      </c>
      <c r="FI1" s="35" t="s">
        <v>999</v>
      </c>
      <c r="FJ1" t="s">
        <v>644</v>
      </c>
      <c r="FK1" t="s">
        <v>647</v>
      </c>
      <c r="FL1" t="s">
        <v>648</v>
      </c>
      <c r="FM1" t="s">
        <v>645</v>
      </c>
      <c r="FN1" t="s">
        <v>646</v>
      </c>
      <c r="FO1" t="s">
        <v>944</v>
      </c>
      <c r="FP1" t="s">
        <v>664</v>
      </c>
      <c r="FR1" t="s">
        <v>1083</v>
      </c>
      <c r="FS1" t="s">
        <v>696</v>
      </c>
      <c r="FT1" t="s">
        <v>697</v>
      </c>
      <c r="FU1" t="s">
        <v>698</v>
      </c>
      <c r="FV1" t="s">
        <v>699</v>
      </c>
      <c r="FW1" t="s">
        <v>700</v>
      </c>
      <c r="FX1" t="s">
        <v>701</v>
      </c>
      <c r="FY1" s="35" t="s">
        <v>830</v>
      </c>
      <c r="FZ1" t="s">
        <v>702</v>
      </c>
      <c r="GA1" s="35" t="s">
        <v>703</v>
      </c>
      <c r="GB1" t="s">
        <v>704</v>
      </c>
      <c r="GC1" t="s">
        <v>705</v>
      </c>
      <c r="GD1" t="s">
        <v>706</v>
      </c>
      <c r="GE1" t="s">
        <v>707</v>
      </c>
      <c r="GF1" t="s">
        <v>708</v>
      </c>
      <c r="GG1" t="s">
        <v>709</v>
      </c>
      <c r="GH1" t="s">
        <v>710</v>
      </c>
      <c r="GI1" t="s">
        <v>711</v>
      </c>
      <c r="GJ1" t="s">
        <v>712</v>
      </c>
      <c r="GK1" t="s">
        <v>713</v>
      </c>
      <c r="GL1" t="s">
        <v>714</v>
      </c>
      <c r="GM1" t="s">
        <v>715</v>
      </c>
      <c r="GN1" t="s">
        <v>716</v>
      </c>
      <c r="GO1" t="s">
        <v>779</v>
      </c>
      <c r="GP1" t="s">
        <v>717</v>
      </c>
      <c r="GQ1" t="s">
        <v>718</v>
      </c>
      <c r="GR1" t="s">
        <v>719</v>
      </c>
      <c r="GS1" s="348" t="s">
        <v>831</v>
      </c>
      <c r="GT1" t="s">
        <v>780</v>
      </c>
      <c r="GU1" t="s">
        <v>720</v>
      </c>
      <c r="GV1" t="s">
        <v>721</v>
      </c>
      <c r="GW1" t="s">
        <v>722</v>
      </c>
      <c r="GX1" s="348" t="s">
        <v>1904</v>
      </c>
      <c r="GY1" t="s">
        <v>865</v>
      </c>
      <c r="GZ1" t="s">
        <v>866</v>
      </c>
      <c r="HX1" t="s">
        <v>727</v>
      </c>
      <c r="JH1" s="718" t="s">
        <v>802</v>
      </c>
      <c r="JI1" s="718"/>
      <c r="JJ1" s="718"/>
      <c r="JK1" s="718"/>
      <c r="JL1" s="718"/>
      <c r="JM1" s="718"/>
      <c r="JN1" s="718"/>
      <c r="JO1" s="718"/>
      <c r="JP1" s="718"/>
      <c r="JQ1" s="718"/>
      <c r="JR1" s="718"/>
      <c r="JS1" s="718"/>
      <c r="JT1" s="718"/>
      <c r="JU1" s="718"/>
      <c r="JV1" s="718"/>
      <c r="JW1" s="718"/>
      <c r="KC1" t="s">
        <v>1546</v>
      </c>
      <c r="KD1" t="s">
        <v>1783</v>
      </c>
      <c r="KK1" t="s">
        <v>842</v>
      </c>
      <c r="KM1" t="s">
        <v>26</v>
      </c>
      <c r="KN1" t="s">
        <v>863</v>
      </c>
      <c r="KO1" t="s">
        <v>857</v>
      </c>
      <c r="KP1" t="s">
        <v>839</v>
      </c>
      <c r="KQ1" t="s">
        <v>858</v>
      </c>
      <c r="KR1" t="s">
        <v>859</v>
      </c>
      <c r="KS1" t="s">
        <v>853</v>
      </c>
      <c r="KT1" t="s">
        <v>854</v>
      </c>
      <c r="KX1" t="s">
        <v>855</v>
      </c>
      <c r="KY1" t="s">
        <v>856</v>
      </c>
      <c r="LA1" t="s">
        <v>26</v>
      </c>
      <c r="LB1" t="s">
        <v>838</v>
      </c>
      <c r="LC1" t="s">
        <v>839</v>
      </c>
      <c r="LD1" t="s">
        <v>840</v>
      </c>
      <c r="LJ1" t="s">
        <v>799</v>
      </c>
      <c r="LW1" s="194" t="s">
        <v>933</v>
      </c>
      <c r="LX1" s="203" t="s">
        <v>930</v>
      </c>
      <c r="LY1" s="205" t="s">
        <v>931</v>
      </c>
      <c r="LZ1" s="201" t="s">
        <v>932</v>
      </c>
      <c r="MA1" s="199" t="s">
        <v>934</v>
      </c>
      <c r="MB1" s="197" t="s">
        <v>935</v>
      </c>
      <c r="MC1" s="206" t="s">
        <v>942</v>
      </c>
      <c r="ME1" s="195" t="s">
        <v>153</v>
      </c>
      <c r="MH1" t="s">
        <v>14</v>
      </c>
      <c r="MX1" t="s">
        <v>1004</v>
      </c>
      <c r="NC1" t="s">
        <v>1546</v>
      </c>
      <c r="ND1" t="s">
        <v>1869</v>
      </c>
      <c r="NE1" t="s">
        <v>1868</v>
      </c>
      <c r="NO1" s="719" t="s">
        <v>363</v>
      </c>
      <c r="NP1" s="719"/>
      <c r="NQ1" s="719"/>
      <c r="NR1" s="719"/>
      <c r="NS1" s="719"/>
      <c r="NT1" s="719"/>
      <c r="NU1" s="719"/>
      <c r="NV1" s="719"/>
      <c r="NW1" s="719"/>
      <c r="NX1" s="719"/>
      <c r="NY1" s="719"/>
      <c r="NZ1" s="719"/>
      <c r="OA1" s="719"/>
      <c r="OB1" s="719"/>
      <c r="OC1" s="719"/>
      <c r="OD1" s="719"/>
      <c r="OE1" s="719"/>
      <c r="OL1" t="s">
        <v>1078</v>
      </c>
      <c r="PB1" t="s">
        <v>1093</v>
      </c>
      <c r="PC1" t="s">
        <v>1139</v>
      </c>
      <c r="PD1" t="s">
        <v>1130</v>
      </c>
      <c r="PE1" t="s">
        <v>1090</v>
      </c>
      <c r="PF1" t="s">
        <v>1094</v>
      </c>
      <c r="PG1" t="s">
        <v>1091</v>
      </c>
      <c r="PH1" t="s">
        <v>1092</v>
      </c>
      <c r="PI1" t="s">
        <v>1140</v>
      </c>
      <c r="PJ1" t="s">
        <v>1129</v>
      </c>
      <c r="PK1" t="s">
        <v>216</v>
      </c>
      <c r="PL1" t="s">
        <v>1089</v>
      </c>
      <c r="PU1" t="s">
        <v>1128</v>
      </c>
      <c r="PV1" t="s">
        <v>1441</v>
      </c>
      <c r="PW1" t="s">
        <v>1442</v>
      </c>
      <c r="PX1" t="s">
        <v>1151</v>
      </c>
      <c r="PY1" t="s">
        <v>1152</v>
      </c>
      <c r="PZ1" t="s">
        <v>1153</v>
      </c>
      <c r="QA1" t="s">
        <v>1154</v>
      </c>
      <c r="QB1" t="s">
        <v>1155</v>
      </c>
      <c r="QC1" t="s">
        <v>1156</v>
      </c>
      <c r="QD1" t="s">
        <v>1157</v>
      </c>
      <c r="QE1" t="s">
        <v>1158</v>
      </c>
      <c r="QF1" t="s">
        <v>1159</v>
      </c>
      <c r="QG1" t="s">
        <v>1160</v>
      </c>
      <c r="QH1" t="s">
        <v>1168</v>
      </c>
      <c r="QJ1" s="35" t="s">
        <v>1542</v>
      </c>
      <c r="QK1" t="s">
        <v>1215</v>
      </c>
      <c r="QL1" t="s">
        <v>1425</v>
      </c>
      <c r="QM1" t="s">
        <v>1426</v>
      </c>
      <c r="QN1" t="s">
        <v>1411</v>
      </c>
      <c r="QO1" t="s">
        <v>1412</v>
      </c>
      <c r="QP1" t="s">
        <v>1413</v>
      </c>
      <c r="QQ1" t="s">
        <v>1414</v>
      </c>
      <c r="QR1" t="s">
        <v>1415</v>
      </c>
      <c r="QS1" t="s">
        <v>1416</v>
      </c>
      <c r="QT1" t="s">
        <v>1436</v>
      </c>
      <c r="QU1" t="s">
        <v>1417</v>
      </c>
      <c r="QV1" t="s">
        <v>1506</v>
      </c>
      <c r="QW1" t="s">
        <v>1507</v>
      </c>
      <c r="RB1" t="s">
        <v>1172</v>
      </c>
      <c r="RC1" t="s">
        <v>1190</v>
      </c>
      <c r="RD1" t="s">
        <v>1205</v>
      </c>
      <c r="RE1" t="s">
        <v>1212</v>
      </c>
      <c r="RF1" t="s">
        <v>1206</v>
      </c>
      <c r="RG1" t="s">
        <v>1200</v>
      </c>
      <c r="RH1" t="s">
        <v>1211</v>
      </c>
      <c r="RI1" t="s">
        <v>1183</v>
      </c>
      <c r="RJ1" t="s">
        <v>1201</v>
      </c>
      <c r="RK1" t="s">
        <v>1180</v>
      </c>
      <c r="RL1" t="s">
        <v>1181</v>
      </c>
      <c r="RM1" t="s">
        <v>1199</v>
      </c>
      <c r="RN1" t="s">
        <v>1198</v>
      </c>
      <c r="RU1" t="s">
        <v>1179</v>
      </c>
      <c r="RV1" t="s">
        <v>1192</v>
      </c>
      <c r="RW1" s="245" t="s">
        <v>1197</v>
      </c>
      <c r="SD1" t="s">
        <v>1356</v>
      </c>
      <c r="SE1" t="s">
        <v>1355</v>
      </c>
      <c r="SF1" t="s">
        <v>1354</v>
      </c>
      <c r="SG1" t="s">
        <v>1251</v>
      </c>
      <c r="SH1" t="s">
        <v>1353</v>
      </c>
      <c r="SI1" t="s">
        <v>1352</v>
      </c>
      <c r="SJ1" t="s">
        <v>1351</v>
      </c>
      <c r="SK1" t="s">
        <v>1350</v>
      </c>
      <c r="SL1" t="s">
        <v>1349</v>
      </c>
      <c r="SM1" t="s">
        <v>1348</v>
      </c>
      <c r="SN1" t="s">
        <v>1347</v>
      </c>
      <c r="SO1" t="s">
        <v>1346</v>
      </c>
      <c r="SP1" t="s">
        <v>1345</v>
      </c>
      <c r="SQ1" t="s">
        <v>1344</v>
      </c>
      <c r="SR1" t="s">
        <v>1343</v>
      </c>
      <c r="SS1" t="s">
        <v>1342</v>
      </c>
      <c r="TA1" s="215"/>
      <c r="TB1" s="215" t="s">
        <v>1176</v>
      </c>
      <c r="TC1" s="215" t="s">
        <v>1177</v>
      </c>
      <c r="TD1" s="215" t="s">
        <v>1184</v>
      </c>
      <c r="TE1" s="215" t="s">
        <v>1188</v>
      </c>
      <c r="TF1" s="215" t="s">
        <v>1186</v>
      </c>
      <c r="TG1" s="215" t="s">
        <v>1187</v>
      </c>
      <c r="TH1" s="215" t="s">
        <v>1185</v>
      </c>
      <c r="TI1" s="215" t="s">
        <v>1189</v>
      </c>
      <c r="TJ1" s="215" t="s">
        <v>1214</v>
      </c>
      <c r="TK1" s="269" t="s">
        <v>1444</v>
      </c>
      <c r="TL1" t="s">
        <v>1253</v>
      </c>
      <c r="TM1" t="s">
        <v>1260</v>
      </c>
      <c r="TN1" t="s">
        <v>1259</v>
      </c>
      <c r="TO1" t="s">
        <v>1261</v>
      </c>
      <c r="TP1" t="s">
        <v>1262</v>
      </c>
      <c r="TQ1" t="s">
        <v>1263</v>
      </c>
      <c r="TR1" t="s">
        <v>1264</v>
      </c>
      <c r="TS1" t="s">
        <v>1265</v>
      </c>
      <c r="TT1" t="s">
        <v>1266</v>
      </c>
      <c r="TU1" t="s">
        <v>1341</v>
      </c>
      <c r="TV1" t="s">
        <v>1267</v>
      </c>
      <c r="TW1" t="s">
        <v>1268</v>
      </c>
      <c r="TX1" t="s">
        <v>1269</v>
      </c>
      <c r="UB1" t="s">
        <v>1295</v>
      </c>
      <c r="UD1" t="s">
        <v>1299</v>
      </c>
      <c r="UE1" t="s">
        <v>1300</v>
      </c>
      <c r="UF1" t="s">
        <v>1301</v>
      </c>
      <c r="UG1" t="s">
        <v>1302</v>
      </c>
      <c r="UH1" t="s">
        <v>1303</v>
      </c>
      <c r="UI1" t="s">
        <v>1304</v>
      </c>
      <c r="UJ1" t="s">
        <v>1305</v>
      </c>
      <c r="UK1" t="s">
        <v>1306</v>
      </c>
      <c r="UL1" t="s">
        <v>1307</v>
      </c>
      <c r="UM1" t="s">
        <v>1308</v>
      </c>
      <c r="UN1" t="s">
        <v>1309</v>
      </c>
      <c r="UO1" t="s">
        <v>1473</v>
      </c>
      <c r="UU1" s="254"/>
      <c r="UV1" s="254" t="s">
        <v>1173</v>
      </c>
      <c r="UW1" s="254" t="s">
        <v>1174</v>
      </c>
      <c r="UX1" s="254" t="s">
        <v>1175</v>
      </c>
      <c r="UY1" s="252" t="s">
        <v>1392</v>
      </c>
      <c r="UZ1" s="189" t="s">
        <v>1357</v>
      </c>
      <c r="VA1" s="189" t="s">
        <v>1358</v>
      </c>
      <c r="VB1" s="189" t="s">
        <v>1364</v>
      </c>
      <c r="VC1" s="189" t="s">
        <v>1363</v>
      </c>
      <c r="VD1" s="189" t="s">
        <v>1359</v>
      </c>
      <c r="VE1" s="189" t="s">
        <v>1367</v>
      </c>
      <c r="VF1" s="189" t="s">
        <v>1360</v>
      </c>
      <c r="VG1" s="189" t="s">
        <v>1361</v>
      </c>
      <c r="VH1" s="189" t="s">
        <v>1366</v>
      </c>
      <c r="VI1" s="189" t="s">
        <v>1362</v>
      </c>
      <c r="VJ1" s="189" t="s">
        <v>1365</v>
      </c>
      <c r="VK1" s="250" t="s">
        <v>1368</v>
      </c>
      <c r="VL1" s="250" t="s">
        <v>1369</v>
      </c>
      <c r="VM1" s="250" t="s">
        <v>1370</v>
      </c>
      <c r="VN1" s="250" t="s">
        <v>1371</v>
      </c>
      <c r="VO1" s="250" t="s">
        <v>1372</v>
      </c>
      <c r="VP1" s="250" t="s">
        <v>1373</v>
      </c>
      <c r="VQ1" s="250" t="s">
        <v>1374</v>
      </c>
      <c r="VR1" s="250" t="s">
        <v>1375</v>
      </c>
      <c r="VS1" s="250" t="s">
        <v>1376</v>
      </c>
      <c r="VT1" s="250" t="s">
        <v>1377</v>
      </c>
      <c r="VU1" s="250" t="s">
        <v>1378</v>
      </c>
      <c r="VV1" s="251" t="s">
        <v>1379</v>
      </c>
      <c r="VW1" s="251" t="s">
        <v>1380</v>
      </c>
      <c r="VX1" s="251" t="s">
        <v>1381</v>
      </c>
      <c r="VY1" s="251" t="s">
        <v>1382</v>
      </c>
      <c r="VZ1" s="251" t="s">
        <v>1383</v>
      </c>
      <c r="WA1" s="251" t="s">
        <v>1384</v>
      </c>
      <c r="WB1" s="251" t="s">
        <v>1385</v>
      </c>
      <c r="WC1" s="251" t="s">
        <v>1386</v>
      </c>
      <c r="WD1" s="251" t="s">
        <v>1387</v>
      </c>
      <c r="WE1" s="251" t="s">
        <v>1388</v>
      </c>
      <c r="WF1" s="251" t="s">
        <v>1389</v>
      </c>
      <c r="WM1" t="s">
        <v>1393</v>
      </c>
      <c r="WN1" t="s">
        <v>1395</v>
      </c>
      <c r="WO1" t="s">
        <v>1394</v>
      </c>
      <c r="WW1" t="s">
        <v>1396</v>
      </c>
      <c r="WZ1" s="215" t="s">
        <v>1176</v>
      </c>
      <c r="XA1" s="215" t="s">
        <v>1177</v>
      </c>
      <c r="XB1" s="215" t="s">
        <v>1184</v>
      </c>
      <c r="XC1" s="215" t="s">
        <v>1188</v>
      </c>
      <c r="XD1" s="215" t="s">
        <v>1186</v>
      </c>
      <c r="XE1" s="215" t="s">
        <v>1187</v>
      </c>
      <c r="XF1" s="215" t="s">
        <v>1185</v>
      </c>
      <c r="XG1" s="215" t="s">
        <v>1189</v>
      </c>
      <c r="XH1" s="215" t="s">
        <v>1214</v>
      </c>
      <c r="XI1" s="215" t="s">
        <v>1444</v>
      </c>
      <c r="XM1" t="s">
        <v>1398</v>
      </c>
      <c r="XN1" t="s">
        <v>1399</v>
      </c>
      <c r="XO1" t="s">
        <v>1445</v>
      </c>
      <c r="XP1" t="s">
        <v>1400</v>
      </c>
      <c r="XQ1" t="s">
        <v>1401</v>
      </c>
      <c r="XR1" t="s">
        <v>1446</v>
      </c>
      <c r="XS1" t="s">
        <v>1402</v>
      </c>
      <c r="XT1" t="s">
        <v>1403</v>
      </c>
      <c r="XU1" t="s">
        <v>1447</v>
      </c>
      <c r="XV1" t="s">
        <v>1404</v>
      </c>
      <c r="XW1" t="s">
        <v>1405</v>
      </c>
      <c r="XX1" t="s">
        <v>1474</v>
      </c>
      <c r="XZ1" s="207" t="s">
        <v>1173</v>
      </c>
      <c r="YB1" s="207" t="s">
        <v>1457</v>
      </c>
      <c r="YC1" s="207" t="s">
        <v>1407</v>
      </c>
      <c r="YE1" s="207" t="s">
        <v>1478</v>
      </c>
      <c r="YF1" s="207" t="s">
        <v>1407</v>
      </c>
      <c r="YG1" s="207" t="s">
        <v>1477</v>
      </c>
      <c r="YH1" s="207" t="s">
        <v>1407</v>
      </c>
      <c r="YL1" t="s">
        <v>409</v>
      </c>
      <c r="YM1" t="s">
        <v>410</v>
      </c>
      <c r="ZB1" t="s">
        <v>1480</v>
      </c>
      <c r="ZC1" t="s">
        <v>950</v>
      </c>
      <c r="ZD1" t="s">
        <v>1483</v>
      </c>
      <c r="ZE1" t="s">
        <v>1484</v>
      </c>
      <c r="ZF1" t="s">
        <v>1482</v>
      </c>
      <c r="ZL1" t="s">
        <v>950</v>
      </c>
      <c r="ZN1" t="s">
        <v>1485</v>
      </c>
      <c r="ZO1" t="s">
        <v>1486</v>
      </c>
      <c r="ZP1" t="s">
        <v>1487</v>
      </c>
      <c r="ZQ1" t="s">
        <v>1488</v>
      </c>
      <c r="ZR1" t="s">
        <v>1489</v>
      </c>
      <c r="ZS1" t="s">
        <v>1490</v>
      </c>
      <c r="ZT1" t="s">
        <v>1491</v>
      </c>
      <c r="ZU1" t="s">
        <v>1492</v>
      </c>
      <c r="ZV1" t="s">
        <v>589</v>
      </c>
      <c r="ZW1" t="s">
        <v>1494</v>
      </c>
      <c r="ZX1" t="s">
        <v>1495</v>
      </c>
      <c r="ZY1" t="s">
        <v>1496</v>
      </c>
      <c r="AAE1" s="391" t="s">
        <v>1846</v>
      </c>
      <c r="AAF1" s="207" t="s">
        <v>1546</v>
      </c>
      <c r="AAG1" s="207" t="s">
        <v>869</v>
      </c>
      <c r="AAH1" s="207" t="s">
        <v>1783</v>
      </c>
      <c r="AAJ1" s="391" t="s">
        <v>1848</v>
      </c>
      <c r="AAK1" s="207" t="s">
        <v>1546</v>
      </c>
      <c r="AAL1" s="207" t="s">
        <v>869</v>
      </c>
      <c r="AAM1" s="207" t="s">
        <v>1783</v>
      </c>
      <c r="AAR1" s="207" t="s">
        <v>559</v>
      </c>
      <c r="AAS1" s="207" t="s">
        <v>1862</v>
      </c>
      <c r="AAY1" s="207" t="s">
        <v>152</v>
      </c>
      <c r="AAZ1" s="207" t="s">
        <v>1945</v>
      </c>
      <c r="ABA1" t="s">
        <v>2044</v>
      </c>
      <c r="ABB1" t="s">
        <v>2045</v>
      </c>
      <c r="ABC1" t="s">
        <v>2046</v>
      </c>
    </row>
    <row r="2" spans="1:731">
      <c r="A2" t="s">
        <v>31</v>
      </c>
      <c r="B2">
        <v>36</v>
      </c>
      <c r="C2" t="s">
        <v>32</v>
      </c>
      <c r="D2" t="s">
        <v>33</v>
      </c>
      <c r="E2" t="s">
        <v>34</v>
      </c>
      <c r="F2" t="s">
        <v>35</v>
      </c>
      <c r="G2" t="s">
        <v>36</v>
      </c>
      <c r="H2" t="s">
        <v>37</v>
      </c>
      <c r="I2" t="s">
        <v>38</v>
      </c>
      <c r="J2">
        <v>8000</v>
      </c>
      <c r="K2" t="s">
        <v>39</v>
      </c>
      <c r="L2" s="6" t="s">
        <v>140</v>
      </c>
      <c r="M2">
        <v>180</v>
      </c>
      <c r="N2" t="s">
        <v>3</v>
      </c>
      <c r="O2">
        <v>215206</v>
      </c>
      <c r="P2" t="s">
        <v>12</v>
      </c>
      <c r="Q2">
        <v>2236</v>
      </c>
      <c r="R2" t="s">
        <v>60</v>
      </c>
      <c r="S2" t="s">
        <v>27</v>
      </c>
      <c r="T2">
        <v>1974</v>
      </c>
      <c r="V2" s="2"/>
      <c r="W2" s="39" t="s">
        <v>218</v>
      </c>
      <c r="Y2" s="39" t="s">
        <v>213</v>
      </c>
      <c r="Z2" s="39" t="s">
        <v>214</v>
      </c>
      <c r="AA2" s="39" t="s">
        <v>215</v>
      </c>
      <c r="AB2" s="39" t="s">
        <v>216</v>
      </c>
      <c r="AC2" s="39"/>
      <c r="AD2" s="39" t="s">
        <v>22</v>
      </c>
      <c r="AE2" s="39" t="s">
        <v>69</v>
      </c>
      <c r="AF2" s="39" t="s">
        <v>224</v>
      </c>
      <c r="AG2" s="39"/>
      <c r="AH2" s="39" t="s">
        <v>225</v>
      </c>
      <c r="AJ2" t="s">
        <v>26</v>
      </c>
      <c r="AK2" s="211" t="s">
        <v>338</v>
      </c>
      <c r="AL2" t="s">
        <v>274</v>
      </c>
      <c r="AN2" t="s">
        <v>253</v>
      </c>
      <c r="AP2" t="s">
        <v>278</v>
      </c>
      <c r="AQ2" t="s">
        <v>289</v>
      </c>
      <c r="AR2" t="s">
        <v>295</v>
      </c>
      <c r="AU2" s="38"/>
      <c r="AV2" s="39"/>
      <c r="AW2" s="38"/>
      <c r="AX2" s="39"/>
      <c r="AY2" s="38"/>
      <c r="BA2" s="38" t="s">
        <v>209</v>
      </c>
      <c r="BB2" t="s">
        <v>1810</v>
      </c>
      <c r="BC2" s="38" t="s">
        <v>304</v>
      </c>
      <c r="BD2" s="290" t="s">
        <v>1546</v>
      </c>
      <c r="BE2" s="38" t="s">
        <v>1783</v>
      </c>
      <c r="BF2" s="349" t="s">
        <v>1930</v>
      </c>
      <c r="BG2" s="349" t="s">
        <v>1784</v>
      </c>
      <c r="BH2" s="349" t="s">
        <v>870</v>
      </c>
      <c r="BI2" s="38" t="s">
        <v>311</v>
      </c>
      <c r="BK2" s="38" t="s">
        <v>321</v>
      </c>
      <c r="BM2" s="290" t="s">
        <v>327</v>
      </c>
      <c r="BN2" t="s">
        <v>963</v>
      </c>
      <c r="BO2" s="290" t="s">
        <v>1543</v>
      </c>
      <c r="BP2" s="38" t="s">
        <v>228</v>
      </c>
      <c r="BQ2" s="38" t="s">
        <v>305</v>
      </c>
      <c r="BS2" s="290" t="s">
        <v>1544</v>
      </c>
      <c r="BT2" s="38" t="s">
        <v>340</v>
      </c>
      <c r="BU2" s="38" t="s">
        <v>341</v>
      </c>
      <c r="BW2" s="38" t="s">
        <v>355</v>
      </c>
      <c r="BY2" s="38" t="s">
        <v>368</v>
      </c>
      <c r="CA2" s="38" t="s">
        <v>369</v>
      </c>
      <c r="CD2" t="s">
        <v>376</v>
      </c>
      <c r="CE2" t="s">
        <v>378</v>
      </c>
      <c r="CF2" s="35" t="s">
        <v>459</v>
      </c>
      <c r="CG2" s="35" t="s">
        <v>460</v>
      </c>
      <c r="CH2" s="35" t="s">
        <v>461</v>
      </c>
      <c r="CJ2" t="s">
        <v>395</v>
      </c>
      <c r="CM2" s="217" t="s">
        <v>1545</v>
      </c>
      <c r="CN2" s="35" t="s">
        <v>404</v>
      </c>
      <c r="CO2" s="35" t="s">
        <v>405</v>
      </c>
      <c r="CQ2" s="35" t="s">
        <v>407</v>
      </c>
      <c r="CS2" s="35" t="s">
        <v>409</v>
      </c>
      <c r="CT2" s="35" t="s">
        <v>410</v>
      </c>
      <c r="CU2" s="35" t="s">
        <v>415</v>
      </c>
      <c r="CV2" s="35" t="s">
        <v>416</v>
      </c>
      <c r="CW2" t="s">
        <v>1989</v>
      </c>
      <c r="CX2" s="35" t="s">
        <v>1820</v>
      </c>
      <c r="CY2" s="35" t="s">
        <v>423</v>
      </c>
      <c r="CZ2" t="s">
        <v>1084</v>
      </c>
      <c r="DA2" s="35" t="s">
        <v>424</v>
      </c>
      <c r="DD2" s="35" t="s">
        <v>429</v>
      </c>
      <c r="DE2" s="35" t="s">
        <v>430</v>
      </c>
      <c r="DG2" s="35" t="s">
        <v>454</v>
      </c>
      <c r="DI2" s="35" t="s">
        <v>465</v>
      </c>
      <c r="DJ2" s="35" t="s">
        <v>466</v>
      </c>
      <c r="DK2" s="35" t="s">
        <v>467</v>
      </c>
      <c r="DL2" s="35" t="s">
        <v>464</v>
      </c>
      <c r="DO2" s="35" t="s">
        <v>547</v>
      </c>
      <c r="DR2" s="190"/>
      <c r="DS2" s="190"/>
      <c r="DT2" s="190"/>
      <c r="DU2" s="190"/>
      <c r="DV2" s="190"/>
      <c r="DW2" s="190"/>
      <c r="DX2" s="116"/>
      <c r="DY2" s="190"/>
      <c r="DZ2" s="190"/>
      <c r="EA2" s="190" t="s">
        <v>363</v>
      </c>
      <c r="EB2" s="190"/>
      <c r="EC2" s="190"/>
      <c r="ED2" s="190"/>
      <c r="EE2" s="190"/>
      <c r="EF2" s="116"/>
      <c r="EG2" s="35"/>
      <c r="EJ2" t="s">
        <v>1814</v>
      </c>
      <c r="EM2" t="s">
        <v>606</v>
      </c>
      <c r="EN2" t="s">
        <v>607</v>
      </c>
      <c r="EO2" t="s">
        <v>789</v>
      </c>
      <c r="EQ2" t="s">
        <v>938</v>
      </c>
      <c r="ER2" t="s">
        <v>937</v>
      </c>
      <c r="ES2" s="217" t="s">
        <v>1547</v>
      </c>
      <c r="ET2" t="s">
        <v>936</v>
      </c>
      <c r="EU2" s="217" t="s">
        <v>1546</v>
      </c>
      <c r="EW2" s="217" t="s">
        <v>1548</v>
      </c>
      <c r="EX2" t="s">
        <v>610</v>
      </c>
      <c r="EY2" t="s">
        <v>611</v>
      </c>
      <c r="FA2" s="217" t="s">
        <v>557</v>
      </c>
      <c r="FB2" s="217" t="s">
        <v>615</v>
      </c>
      <c r="FC2" t="s">
        <v>312</v>
      </c>
      <c r="FD2" t="s">
        <v>22</v>
      </c>
      <c r="FF2" t="s">
        <v>618</v>
      </c>
      <c r="FG2" t="s">
        <v>315</v>
      </c>
      <c r="FH2" t="s">
        <v>315</v>
      </c>
      <c r="FI2" s="35" t="s">
        <v>312</v>
      </c>
      <c r="FJ2" t="s">
        <v>315</v>
      </c>
      <c r="FK2" t="s">
        <v>315</v>
      </c>
      <c r="FL2" t="s">
        <v>318</v>
      </c>
      <c r="FM2" t="s">
        <v>318</v>
      </c>
      <c r="FN2" t="s">
        <v>317</v>
      </c>
      <c r="FO2" t="s">
        <v>338</v>
      </c>
      <c r="FP2" t="s">
        <v>665</v>
      </c>
      <c r="FR2" s="395" t="s">
        <v>228</v>
      </c>
      <c r="FS2" s="395" t="s">
        <v>228</v>
      </c>
      <c r="FT2" s="395" t="s">
        <v>228</v>
      </c>
      <c r="FU2" s="395" t="s">
        <v>228</v>
      </c>
      <c r="FV2" s="395" t="s">
        <v>228</v>
      </c>
      <c r="FW2" s="395" t="s">
        <v>228</v>
      </c>
      <c r="FX2" s="395" t="s">
        <v>228</v>
      </c>
      <c r="FY2" s="395" t="s">
        <v>228</v>
      </c>
      <c r="FZ2" s="217" t="s">
        <v>1543</v>
      </c>
      <c r="GA2" s="395" t="s">
        <v>228</v>
      </c>
      <c r="GB2" s="395" t="s">
        <v>228</v>
      </c>
      <c r="GC2" s="217" t="s">
        <v>1543</v>
      </c>
      <c r="GD2" t="s">
        <v>228</v>
      </c>
      <c r="GE2" s="395" t="s">
        <v>228</v>
      </c>
      <c r="GF2" s="217" t="s">
        <v>1543</v>
      </c>
      <c r="GG2" s="217" t="s">
        <v>1543</v>
      </c>
      <c r="GH2" s="395" t="s">
        <v>228</v>
      </c>
      <c r="GI2" s="217" t="s">
        <v>1543</v>
      </c>
      <c r="GJ2" s="217" t="s">
        <v>1543</v>
      </c>
      <c r="GK2" s="395" t="s">
        <v>228</v>
      </c>
      <c r="GL2" s="395" t="s">
        <v>228</v>
      </c>
      <c r="GM2" s="395" t="s">
        <v>228</v>
      </c>
      <c r="GN2" s="217" t="s">
        <v>1543</v>
      </c>
      <c r="GO2" s="217" t="s">
        <v>1543</v>
      </c>
      <c r="GP2" s="217" t="s">
        <v>1543</v>
      </c>
      <c r="GQ2" s="217" t="s">
        <v>1543</v>
      </c>
      <c r="GR2" s="217" t="s">
        <v>1543</v>
      </c>
      <c r="GS2" s="395" t="s">
        <v>228</v>
      </c>
      <c r="GT2" s="217" t="s">
        <v>1543</v>
      </c>
      <c r="GU2" s="395" t="s">
        <v>228</v>
      </c>
      <c r="GV2" s="395" t="s">
        <v>228</v>
      </c>
      <c r="GW2" s="217" t="s">
        <v>1543</v>
      </c>
      <c r="GX2" s="395" t="s">
        <v>228</v>
      </c>
      <c r="GY2" s="395" t="s">
        <v>228</v>
      </c>
      <c r="GZ2" t="s">
        <v>228</v>
      </c>
      <c r="HA2" t="s">
        <v>736</v>
      </c>
      <c r="HB2" t="s">
        <v>737</v>
      </c>
      <c r="HC2" t="s">
        <v>738</v>
      </c>
      <c r="HD2" t="s">
        <v>739</v>
      </c>
      <c r="HE2" t="s">
        <v>740</v>
      </c>
      <c r="HF2" s="217" t="s">
        <v>1555</v>
      </c>
      <c r="HG2" t="s">
        <v>741</v>
      </c>
      <c r="HH2" t="s">
        <v>742</v>
      </c>
      <c r="HI2" t="s">
        <v>743</v>
      </c>
      <c r="HJ2" t="s">
        <v>744</v>
      </c>
      <c r="HK2" t="s">
        <v>745</v>
      </c>
      <c r="HL2" t="s">
        <v>746</v>
      </c>
      <c r="HM2" t="s">
        <v>735</v>
      </c>
      <c r="HN2" t="s">
        <v>877</v>
      </c>
      <c r="HO2" t="s">
        <v>734</v>
      </c>
      <c r="HP2" t="s">
        <v>1973</v>
      </c>
      <c r="HQ2" t="s">
        <v>1972</v>
      </c>
      <c r="HR2" t="s">
        <v>1998</v>
      </c>
      <c r="HS2" t="s">
        <v>747</v>
      </c>
      <c r="HT2" t="s">
        <v>748</v>
      </c>
      <c r="HU2" t="s">
        <v>749</v>
      </c>
      <c r="HX2" t="s">
        <v>752</v>
      </c>
      <c r="HY2" t="s">
        <v>1910</v>
      </c>
      <c r="HZ2" t="s">
        <v>776</v>
      </c>
      <c r="IA2" t="s">
        <v>775</v>
      </c>
      <c r="IB2" t="s">
        <v>754</v>
      </c>
      <c r="IC2" t="s">
        <v>774</v>
      </c>
      <c r="ID2" t="s">
        <v>767</v>
      </c>
      <c r="IE2" t="s">
        <v>397</v>
      </c>
      <c r="IF2" t="s">
        <v>669</v>
      </c>
      <c r="IG2" t="s">
        <v>769</v>
      </c>
      <c r="IH2" t="s">
        <v>770</v>
      </c>
      <c r="II2" t="s">
        <v>771</v>
      </c>
      <c r="IJ2" t="s">
        <v>756</v>
      </c>
      <c r="IK2" t="s">
        <v>674</v>
      </c>
      <c r="IL2" s="217" t="s">
        <v>768</v>
      </c>
      <c r="IM2" t="s">
        <v>772</v>
      </c>
      <c r="IN2" t="s">
        <v>773</v>
      </c>
      <c r="IO2" t="s">
        <v>683</v>
      </c>
      <c r="IP2" t="s">
        <v>758</v>
      </c>
      <c r="IQ2" t="s">
        <v>759</v>
      </c>
      <c r="IR2" s="217" t="s">
        <v>760</v>
      </c>
      <c r="IS2" s="217" t="s">
        <v>766</v>
      </c>
      <c r="IT2" t="s">
        <v>761</v>
      </c>
      <c r="IU2" t="s">
        <v>762</v>
      </c>
      <c r="IV2" t="s">
        <v>763</v>
      </c>
      <c r="IW2" t="s">
        <v>1501</v>
      </c>
      <c r="IX2" s="217" t="s">
        <v>1554</v>
      </c>
      <c r="IY2" t="s">
        <v>778</v>
      </c>
      <c r="IZ2" t="s">
        <v>786</v>
      </c>
      <c r="JA2" t="s">
        <v>949</v>
      </c>
      <c r="JB2" t="s">
        <v>794</v>
      </c>
      <c r="JC2" t="s">
        <v>795</v>
      </c>
      <c r="JD2" t="s">
        <v>796</v>
      </c>
      <c r="JE2" t="s">
        <v>797</v>
      </c>
      <c r="JF2" t="s">
        <v>798</v>
      </c>
      <c r="JG2" t="s">
        <v>1001</v>
      </c>
      <c r="JH2" t="s">
        <v>803</v>
      </c>
      <c r="JI2" t="s">
        <v>804</v>
      </c>
      <c r="JJ2" t="s">
        <v>805</v>
      </c>
      <c r="JK2" t="s">
        <v>806</v>
      </c>
      <c r="JL2" t="s">
        <v>807</v>
      </c>
      <c r="JM2" t="s">
        <v>808</v>
      </c>
      <c r="JN2" t="s">
        <v>809</v>
      </c>
      <c r="JO2" t="s">
        <v>810</v>
      </c>
      <c r="JP2" t="s">
        <v>811</v>
      </c>
      <c r="JQ2" t="s">
        <v>812</v>
      </c>
      <c r="JR2" t="s">
        <v>813</v>
      </c>
      <c r="JS2" t="s">
        <v>814</v>
      </c>
      <c r="JT2" t="s">
        <v>815</v>
      </c>
      <c r="JU2" t="s">
        <v>816</v>
      </c>
      <c r="JV2" t="s">
        <v>817</v>
      </c>
      <c r="JW2" t="s">
        <v>818</v>
      </c>
      <c r="JX2" t="s">
        <v>946</v>
      </c>
      <c r="JY2" s="250" t="s">
        <v>1532</v>
      </c>
      <c r="JZ2" t="s">
        <v>819</v>
      </c>
      <c r="KB2" s="217" t="s">
        <v>1552</v>
      </c>
      <c r="KC2" s="217" t="s">
        <v>1553</v>
      </c>
      <c r="KD2" t="s">
        <v>828</v>
      </c>
      <c r="KF2" t="s">
        <v>834</v>
      </c>
      <c r="KK2" t="s">
        <v>26</v>
      </c>
      <c r="KM2" t="s">
        <v>843</v>
      </c>
      <c r="KN2" t="s">
        <v>26</v>
      </c>
      <c r="KO2" t="s">
        <v>844</v>
      </c>
      <c r="KP2" t="s">
        <v>845</v>
      </c>
      <c r="KQ2" t="s">
        <v>848</v>
      </c>
      <c r="KR2" t="s">
        <v>847</v>
      </c>
      <c r="KS2" t="s">
        <v>851</v>
      </c>
      <c r="KT2" t="s">
        <v>852</v>
      </c>
      <c r="KV2" t="s">
        <v>224</v>
      </c>
      <c r="KX2" t="s">
        <v>26</v>
      </c>
      <c r="KY2" t="s">
        <v>845</v>
      </c>
      <c r="KZ2" t="s">
        <v>853</v>
      </c>
      <c r="LA2" t="s">
        <v>26</v>
      </c>
      <c r="LB2" t="s">
        <v>863</v>
      </c>
      <c r="LC2" t="s">
        <v>839</v>
      </c>
      <c r="LD2" t="s">
        <v>858</v>
      </c>
      <c r="LJ2" t="s">
        <v>426</v>
      </c>
      <c r="LK2">
        <v>0</v>
      </c>
      <c r="LO2" t="s">
        <v>841</v>
      </c>
      <c r="LP2" t="s">
        <v>342</v>
      </c>
      <c r="LQ2" t="s">
        <v>344</v>
      </c>
      <c r="LR2" t="s">
        <v>346</v>
      </c>
      <c r="LS2" t="s">
        <v>350</v>
      </c>
      <c r="LT2" t="s">
        <v>352</v>
      </c>
      <c r="LU2" t="s">
        <v>353</v>
      </c>
      <c r="LV2" t="s">
        <v>26</v>
      </c>
      <c r="LW2" s="202" t="s">
        <v>306</v>
      </c>
      <c r="LX2" s="194" t="s">
        <v>426</v>
      </c>
      <c r="LY2" s="241" t="s">
        <v>1072</v>
      </c>
      <c r="LZ2" s="194" t="s">
        <v>523</v>
      </c>
      <c r="MA2" s="194" t="s">
        <v>489</v>
      </c>
      <c r="MB2" s="194" t="s">
        <v>338</v>
      </c>
      <c r="MC2" s="194" t="s">
        <v>338</v>
      </c>
      <c r="MD2" s="208" t="s">
        <v>882</v>
      </c>
      <c r="ME2" s="208" t="s">
        <v>939</v>
      </c>
      <c r="MF2" s="209" t="s">
        <v>940</v>
      </c>
      <c r="MG2" s="210" t="s">
        <v>941</v>
      </c>
      <c r="MI2" t="s">
        <v>314</v>
      </c>
      <c r="MJ2" s="195" t="s">
        <v>22</v>
      </c>
      <c r="MK2" t="s">
        <v>307</v>
      </c>
      <c r="ML2" t="s">
        <v>22</v>
      </c>
      <c r="MN2" t="s">
        <v>978</v>
      </c>
      <c r="MP2" t="s">
        <v>984</v>
      </c>
      <c r="MQ2" t="s">
        <v>985</v>
      </c>
      <c r="MR2" t="s">
        <v>986</v>
      </c>
      <c r="MS2" t="s">
        <v>987</v>
      </c>
      <c r="MU2" t="s">
        <v>1000</v>
      </c>
      <c r="MX2" t="s">
        <v>426</v>
      </c>
      <c r="MY2">
        <v>1</v>
      </c>
      <c r="ND2" t="s">
        <v>1826</v>
      </c>
      <c r="NE2" t="s">
        <v>26</v>
      </c>
      <c r="NO2" s="239" t="s">
        <v>1037</v>
      </c>
      <c r="NP2" s="239" t="s">
        <v>1038</v>
      </c>
      <c r="NQ2" s="239" t="s">
        <v>1039</v>
      </c>
      <c r="NR2" s="239" t="s">
        <v>1040</v>
      </c>
      <c r="NS2" s="239" t="s">
        <v>1041</v>
      </c>
      <c r="NT2" s="239" t="s">
        <v>1042</v>
      </c>
      <c r="NU2" s="239" t="s">
        <v>1043</v>
      </c>
      <c r="NV2" s="239" t="s">
        <v>1044</v>
      </c>
      <c r="NW2" s="239" t="s">
        <v>1045</v>
      </c>
      <c r="NX2" s="239" t="s">
        <v>1046</v>
      </c>
      <c r="NY2" s="239" t="s">
        <v>1047</v>
      </c>
      <c r="NZ2" s="239" t="s">
        <v>1048</v>
      </c>
      <c r="OA2" s="239" t="s">
        <v>1049</v>
      </c>
      <c r="OB2" s="239" t="s">
        <v>1050</v>
      </c>
      <c r="OC2" s="239" t="s">
        <v>1051</v>
      </c>
      <c r="OD2" s="239" t="s">
        <v>1052</v>
      </c>
      <c r="OE2" s="239" t="s">
        <v>1053</v>
      </c>
      <c r="OF2" s="240" t="s">
        <v>1070</v>
      </c>
      <c r="OG2" s="250" t="s">
        <v>1533</v>
      </c>
      <c r="OH2" t="s">
        <v>2047</v>
      </c>
      <c r="OL2" t="s">
        <v>1079</v>
      </c>
      <c r="PB2" t="s">
        <v>1095</v>
      </c>
      <c r="PC2" t="s">
        <v>1095</v>
      </c>
      <c r="PD2" t="s">
        <v>1095</v>
      </c>
      <c r="PE2" t="s">
        <v>1096</v>
      </c>
      <c r="PG2" t="s">
        <v>1095</v>
      </c>
      <c r="PH2" t="s">
        <v>1097</v>
      </c>
      <c r="PI2" t="s">
        <v>1098</v>
      </c>
      <c r="PJ2" t="s">
        <v>1098</v>
      </c>
      <c r="PL2" t="s">
        <v>1095</v>
      </c>
      <c r="PU2" t="s">
        <v>21</v>
      </c>
      <c r="PV2" t="s">
        <v>338</v>
      </c>
      <c r="PW2" t="s">
        <v>69</v>
      </c>
      <c r="PX2" t="s">
        <v>26</v>
      </c>
      <c r="PY2" t="s">
        <v>383</v>
      </c>
      <c r="PZ2" t="s">
        <v>383</v>
      </c>
      <c r="QA2" t="s">
        <v>338</v>
      </c>
      <c r="QB2" t="s">
        <v>69</v>
      </c>
      <c r="QC2" t="s">
        <v>69</v>
      </c>
      <c r="QD2" t="s">
        <v>338</v>
      </c>
      <c r="QE2" t="s">
        <v>26</v>
      </c>
      <c r="QF2" t="s">
        <v>26</v>
      </c>
      <c r="QG2" t="s">
        <v>1162</v>
      </c>
      <c r="QH2" t="s">
        <v>113</v>
      </c>
      <c r="QI2" t="s">
        <v>22</v>
      </c>
      <c r="QJ2" t="s">
        <v>21</v>
      </c>
      <c r="QK2" t="s">
        <v>21</v>
      </c>
      <c r="QL2" t="s">
        <v>843</v>
      </c>
      <c r="QM2" t="s">
        <v>843</v>
      </c>
      <c r="QN2" t="s">
        <v>338</v>
      </c>
      <c r="QO2" t="s">
        <v>338</v>
      </c>
      <c r="QP2" t="s">
        <v>338</v>
      </c>
      <c r="QQ2" t="s">
        <v>338</v>
      </c>
      <c r="QR2" t="s">
        <v>338</v>
      </c>
      <c r="QS2" t="s">
        <v>338</v>
      </c>
      <c r="QT2" t="s">
        <v>338</v>
      </c>
      <c r="QU2" t="s">
        <v>338</v>
      </c>
      <c r="QV2" t="s">
        <v>338</v>
      </c>
      <c r="QW2" t="s">
        <v>338</v>
      </c>
      <c r="RB2" t="s">
        <v>1173</v>
      </c>
      <c r="RC2" t="s">
        <v>1176</v>
      </c>
      <c r="RD2" t="s">
        <v>1176</v>
      </c>
      <c r="RE2" t="s">
        <v>1214</v>
      </c>
      <c r="RF2" t="s">
        <v>1176</v>
      </c>
      <c r="RG2" t="s">
        <v>1176</v>
      </c>
      <c r="RH2" t="s">
        <v>1214</v>
      </c>
      <c r="RI2" t="s">
        <v>1176</v>
      </c>
      <c r="RJ2" t="s">
        <v>1176</v>
      </c>
      <c r="RK2" t="s">
        <v>1214</v>
      </c>
      <c r="RL2" t="s">
        <v>1176</v>
      </c>
      <c r="RM2" t="s">
        <v>1176</v>
      </c>
      <c r="RN2" t="s">
        <v>1176</v>
      </c>
      <c r="RU2" t="s">
        <v>1205</v>
      </c>
      <c r="RV2" t="s">
        <v>21</v>
      </c>
      <c r="RW2" s="245" t="s">
        <v>843</v>
      </c>
      <c r="SD2" t="s">
        <v>1216</v>
      </c>
      <c r="SE2" t="s">
        <v>1216</v>
      </c>
      <c r="SF2" t="s">
        <v>1217</v>
      </c>
      <c r="SG2" t="s">
        <v>1217</v>
      </c>
      <c r="SH2" t="s">
        <v>1217</v>
      </c>
      <c r="SI2" t="s">
        <v>1217</v>
      </c>
      <c r="SJ2" t="s">
        <v>1218</v>
      </c>
      <c r="SK2" t="s">
        <v>1218</v>
      </c>
      <c r="SL2" t="s">
        <v>1216</v>
      </c>
      <c r="SM2" t="s">
        <v>1218</v>
      </c>
      <c r="SN2" t="s">
        <v>1219</v>
      </c>
      <c r="SO2" t="s">
        <v>1218</v>
      </c>
      <c r="SP2" t="s">
        <v>1219</v>
      </c>
      <c r="SQ2" t="s">
        <v>1220</v>
      </c>
      <c r="SR2" t="s">
        <v>1216</v>
      </c>
      <c r="SS2" t="s">
        <v>1217</v>
      </c>
      <c r="TA2" s="215" t="s">
        <v>1173</v>
      </c>
      <c r="TB2" s="207" t="str">
        <f>SG1</f>
        <v xml:space="preserve"> 25mm Single Cellular Blind Blockout Standard</v>
      </c>
      <c r="TC2" s="207" t="str">
        <f>SE1</f>
        <v xml:space="preserve"> 25mm Single Cellular Blind Translucent Standard</v>
      </c>
      <c r="TD2" s="207" t="s">
        <v>338</v>
      </c>
      <c r="TE2" s="207" t="s">
        <v>338</v>
      </c>
      <c r="TF2" s="207" t="str">
        <f>SP1</f>
        <v xml:space="preserve"> 25mm Single Cellular Blind Translucent Paisley</v>
      </c>
      <c r="TG2" s="207" t="str">
        <f>SI1</f>
        <v xml:space="preserve"> 25mm Single Cellular Blind Translucent Sheer</v>
      </c>
      <c r="TH2" s="207" t="str">
        <f>SO1</f>
        <v xml:space="preserve"> 25mm Single Cellular Blind Translucent Thatched</v>
      </c>
      <c r="TI2" s="207" t="str">
        <f>SK1</f>
        <v xml:space="preserve"> 25mm Single Cellular Blind Translucent Woven</v>
      </c>
      <c r="TJ2" s="207" t="str">
        <f>$SG$1</f>
        <v xml:space="preserve"> 25mm Single Cellular Blind Blockout Standard</v>
      </c>
      <c r="TK2" s="207" t="str">
        <f>$WM$1</f>
        <v>Cellular Colour 2 25mm Single Cellular Blind</v>
      </c>
      <c r="TL2" s="35" t="s">
        <v>1270</v>
      </c>
      <c r="TM2" s="212" t="s">
        <v>1270</v>
      </c>
      <c r="TN2" s="35" t="s">
        <v>1254</v>
      </c>
      <c r="TO2" s="212" t="s">
        <v>1254</v>
      </c>
      <c r="TP2" s="35" t="s">
        <v>1310</v>
      </c>
      <c r="TQ2" s="212" t="s">
        <v>1310</v>
      </c>
      <c r="TR2" s="35" t="s">
        <v>1315</v>
      </c>
      <c r="TS2" s="35" t="s">
        <v>1320</v>
      </c>
      <c r="TT2" s="35" t="s">
        <v>1325</v>
      </c>
      <c r="TU2" s="212" t="s">
        <v>1320</v>
      </c>
      <c r="TV2" s="212" t="s">
        <v>1325</v>
      </c>
      <c r="TW2" s="35" t="s">
        <v>1290</v>
      </c>
      <c r="TX2" s="250" t="s">
        <v>1270</v>
      </c>
      <c r="UB2" t="s">
        <v>1296</v>
      </c>
      <c r="UC2" t="s">
        <v>1205</v>
      </c>
      <c r="UD2" t="s">
        <v>338</v>
      </c>
      <c r="UE2" t="s">
        <v>338</v>
      </c>
      <c r="UF2" t="s">
        <v>338</v>
      </c>
      <c r="UG2" t="s">
        <v>338</v>
      </c>
      <c r="UH2" t="s">
        <v>338</v>
      </c>
      <c r="UI2" t="s">
        <v>338</v>
      </c>
      <c r="UJ2" t="s">
        <v>338</v>
      </c>
      <c r="UK2" t="s">
        <v>338</v>
      </c>
      <c r="UL2" t="s">
        <v>338</v>
      </c>
      <c r="UM2" t="s">
        <v>1455</v>
      </c>
      <c r="UN2" t="s">
        <v>1453</v>
      </c>
      <c r="UO2" t="s">
        <v>338</v>
      </c>
      <c r="UU2" s="254" t="s">
        <v>1205</v>
      </c>
      <c r="UV2" s="254" t="str">
        <f>UZ1</f>
        <v>Corded Standard 25mm Single</v>
      </c>
      <c r="UW2" s="254" t="str">
        <f>VK1</f>
        <v>Corded Standard 38mm Single</v>
      </c>
      <c r="UX2" s="254" t="str">
        <f>VV1</f>
        <v>Corded Standard 38mm Double</v>
      </c>
      <c r="UY2" t="s">
        <v>1176</v>
      </c>
      <c r="UZ2" t="s">
        <v>1176</v>
      </c>
      <c r="VA2" t="s">
        <v>1214</v>
      </c>
      <c r="VB2" t="s">
        <v>1176</v>
      </c>
      <c r="VC2" t="s">
        <v>1176</v>
      </c>
      <c r="VD2" t="s">
        <v>1214</v>
      </c>
      <c r="VE2" t="s">
        <v>1176</v>
      </c>
      <c r="VF2" t="s">
        <v>1176</v>
      </c>
      <c r="VG2" t="s">
        <v>1214</v>
      </c>
      <c r="VH2" t="s">
        <v>1176</v>
      </c>
      <c r="VI2" t="s">
        <v>1176</v>
      </c>
      <c r="VJ2" t="s">
        <v>1176</v>
      </c>
      <c r="VK2" t="s">
        <v>1176</v>
      </c>
      <c r="VL2" t="s">
        <v>1214</v>
      </c>
      <c r="VM2" t="s">
        <v>1176</v>
      </c>
      <c r="VN2" t="s">
        <v>1176</v>
      </c>
      <c r="VO2" t="s">
        <v>1214</v>
      </c>
      <c r="VP2" t="s">
        <v>1176</v>
      </c>
      <c r="VQ2" t="s">
        <v>1176</v>
      </c>
      <c r="VR2" t="s">
        <v>1214</v>
      </c>
      <c r="VS2" t="s">
        <v>1176</v>
      </c>
      <c r="VT2" t="s">
        <v>1176</v>
      </c>
      <c r="VU2" t="s">
        <v>1176</v>
      </c>
      <c r="VV2" t="s">
        <v>1176</v>
      </c>
      <c r="VW2" t="s">
        <v>1214</v>
      </c>
      <c r="VX2" t="s">
        <v>1176</v>
      </c>
      <c r="VY2" t="s">
        <v>1176</v>
      </c>
      <c r="VZ2" t="s">
        <v>1214</v>
      </c>
      <c r="WA2" t="s">
        <v>1176</v>
      </c>
      <c r="WB2" t="s">
        <v>1176</v>
      </c>
      <c r="WC2" t="s">
        <v>1214</v>
      </c>
      <c r="WD2" t="s">
        <v>1176</v>
      </c>
      <c r="WE2" t="s">
        <v>1176</v>
      </c>
      <c r="WF2" t="s">
        <v>1176</v>
      </c>
      <c r="WM2" s="212" t="s">
        <v>1270</v>
      </c>
      <c r="WN2" s="35" t="s">
        <v>1270</v>
      </c>
      <c r="WO2" s="250" t="s">
        <v>1270</v>
      </c>
      <c r="WW2" t="s">
        <v>338</v>
      </c>
      <c r="WY2" s="215" t="s">
        <v>1173</v>
      </c>
      <c r="WZ2" s="258" t="str">
        <f t="shared" ref="WZ2:XA4" si="0">$WW$1</f>
        <v>Cellular Colour 2 NA</v>
      </c>
      <c r="XA2" s="258" t="str">
        <f t="shared" si="0"/>
        <v>Cellular Colour 2 NA</v>
      </c>
      <c r="XB2" s="258" t="str">
        <f t="shared" ref="XB2:XG4" si="1">$WW$1</f>
        <v>Cellular Colour 2 NA</v>
      </c>
      <c r="XC2" s="258" t="str">
        <f t="shared" si="1"/>
        <v>Cellular Colour 2 NA</v>
      </c>
      <c r="XD2" s="258" t="str">
        <f t="shared" si="1"/>
        <v>Cellular Colour 2 NA</v>
      </c>
      <c r="XE2" s="258" t="str">
        <f t="shared" si="1"/>
        <v>Cellular Colour 2 NA</v>
      </c>
      <c r="XF2" s="258" t="str">
        <f t="shared" si="1"/>
        <v>Cellular Colour 2 NA</v>
      </c>
      <c r="XG2" s="258" t="str">
        <f t="shared" si="1"/>
        <v>Cellular Colour 2 NA</v>
      </c>
      <c r="XH2" s="207" t="str">
        <f>$WM$1</f>
        <v>Cellular Colour 2 25mm Single Cellular Blind</v>
      </c>
      <c r="XI2" s="207" t="str">
        <f>$SG$1</f>
        <v xml:space="preserve"> 25mm Single Cellular Blind Blockout Standard</v>
      </c>
      <c r="XL2" t="s">
        <v>1205</v>
      </c>
      <c r="XM2" s="35" t="s">
        <v>21</v>
      </c>
      <c r="XN2" s="214" t="s">
        <v>1193</v>
      </c>
      <c r="XO2" s="214" t="s">
        <v>1193</v>
      </c>
      <c r="XP2" s="35" t="s">
        <v>25</v>
      </c>
      <c r="XQ2" s="35" t="s">
        <v>25</v>
      </c>
      <c r="XR2" s="35" t="s">
        <v>25</v>
      </c>
      <c r="XS2" s="35" t="s">
        <v>21</v>
      </c>
      <c r="XT2" s="35" t="s">
        <v>1195</v>
      </c>
      <c r="XU2" s="35" t="s">
        <v>1195</v>
      </c>
      <c r="XV2" s="35" t="s">
        <v>338</v>
      </c>
      <c r="XW2" s="35" t="s">
        <v>338</v>
      </c>
      <c r="XX2" t="s">
        <v>21</v>
      </c>
      <c r="XZ2" s="214" t="s">
        <v>1174</v>
      </c>
      <c r="YB2" s="207" t="s">
        <v>1205</v>
      </c>
      <c r="YC2" s="207">
        <v>10.98</v>
      </c>
      <c r="YE2" s="207" t="s">
        <v>1205</v>
      </c>
      <c r="YF2" s="207">
        <v>7.63</v>
      </c>
      <c r="YG2" s="207" t="s">
        <v>1205</v>
      </c>
      <c r="YH2" s="207">
        <v>7.63</v>
      </c>
      <c r="YK2" t="s">
        <v>1093</v>
      </c>
      <c r="YL2" t="str">
        <f>$CS$17</f>
        <v>Oval Bottom Rail 2</v>
      </c>
      <c r="YM2" t="str">
        <f>$CT$2</f>
        <v>Sewn In Pocket</v>
      </c>
      <c r="ZB2" t="s">
        <v>1093</v>
      </c>
      <c r="ZC2">
        <v>2</v>
      </c>
      <c r="ZD2" t="s">
        <v>765</v>
      </c>
      <c r="ZE2" t="s">
        <v>338</v>
      </c>
      <c r="ZF2" t="s">
        <v>410</v>
      </c>
      <c r="ZL2">
        <v>2</v>
      </c>
      <c r="ZM2" t="s">
        <v>1485</v>
      </c>
      <c r="ZN2" t="s">
        <v>1511</v>
      </c>
      <c r="ZO2" t="s">
        <v>1512</v>
      </c>
      <c r="ZP2" t="s">
        <v>1513</v>
      </c>
      <c r="ZQ2" t="s">
        <v>1514</v>
      </c>
      <c r="ZR2" t="s">
        <v>1515</v>
      </c>
      <c r="ZS2" t="s">
        <v>1516</v>
      </c>
      <c r="ZT2" t="s">
        <v>1517</v>
      </c>
      <c r="ZU2" t="s">
        <v>1518</v>
      </c>
      <c r="ZW2">
        <v>2</v>
      </c>
      <c r="ZX2">
        <v>1200</v>
      </c>
      <c r="ZY2">
        <v>3000</v>
      </c>
      <c r="AAE2" s="207" t="s">
        <v>306</v>
      </c>
      <c r="AAF2" s="207" t="str">
        <f>$AAF$23</f>
        <v>TimberEcoPaintedHingeNew</v>
      </c>
      <c r="AAG2" s="207" t="str">
        <f>$AAE$23</f>
        <v>FauxwoodEcoHingeNew</v>
      </c>
      <c r="AAH2" s="207" t="str">
        <f>$AAE$23</f>
        <v>FauxwoodEcoHingeNew</v>
      </c>
      <c r="AAJ2" s="207" t="s">
        <v>313</v>
      </c>
      <c r="AAK2" s="207" t="str">
        <f>AAM23</f>
        <v>TimberPaintedHangingStripHingeNew</v>
      </c>
      <c r="AAL2" s="207" t="str">
        <f>$AAL$23</f>
        <v>FauxwoodHangingStripHingeNew</v>
      </c>
      <c r="AAM2" s="207" t="str">
        <f>$AAL$23</f>
        <v>FauxwoodHangingStripHingeNew</v>
      </c>
      <c r="AAR2" s="207" t="s">
        <v>568</v>
      </c>
      <c r="AAS2" s="207" t="s">
        <v>1862</v>
      </c>
      <c r="AAY2" s="207" t="s">
        <v>523</v>
      </c>
      <c r="AAZ2" s="207">
        <v>1</v>
      </c>
      <c r="ABA2" t="s">
        <v>2045</v>
      </c>
      <c r="ABB2" t="s">
        <v>792</v>
      </c>
      <c r="ABC2" t="s">
        <v>793</v>
      </c>
    </row>
    <row r="3" spans="1:731" ht="15">
      <c r="A3" t="s">
        <v>17</v>
      </c>
      <c r="B3">
        <v>37</v>
      </c>
      <c r="C3" t="s">
        <v>42</v>
      </c>
      <c r="D3" t="s">
        <v>43</v>
      </c>
      <c r="E3" t="s">
        <v>44</v>
      </c>
      <c r="F3" t="s">
        <v>45</v>
      </c>
      <c r="G3" t="s">
        <v>46</v>
      </c>
      <c r="H3" t="s">
        <v>47</v>
      </c>
      <c r="I3" t="s">
        <v>18</v>
      </c>
      <c r="J3">
        <v>8100</v>
      </c>
      <c r="K3" t="s">
        <v>48</v>
      </c>
      <c r="L3" t="s">
        <v>136</v>
      </c>
      <c r="M3">
        <v>800</v>
      </c>
      <c r="N3" t="s">
        <v>4</v>
      </c>
      <c r="O3">
        <v>217049</v>
      </c>
      <c r="P3" t="s">
        <v>10</v>
      </c>
      <c r="Q3">
        <v>2237</v>
      </c>
      <c r="R3" t="s">
        <v>41</v>
      </c>
      <c r="S3" t="s">
        <v>28</v>
      </c>
      <c r="T3">
        <v>2129</v>
      </c>
      <c r="V3" s="1"/>
      <c r="W3" t="s">
        <v>213</v>
      </c>
      <c r="Y3" t="s">
        <v>238</v>
      </c>
      <c r="Z3" t="s">
        <v>241</v>
      </c>
      <c r="AA3" s="35" t="s">
        <v>443</v>
      </c>
      <c r="AB3" t="s">
        <v>1141</v>
      </c>
      <c r="AD3" t="s">
        <v>219</v>
      </c>
      <c r="AE3" t="s">
        <v>338</v>
      </c>
      <c r="AF3" t="s">
        <v>26</v>
      </c>
      <c r="AH3" t="s">
        <v>26</v>
      </c>
      <c r="AI3" t="s">
        <v>226</v>
      </c>
      <c r="AJ3" t="s">
        <v>232</v>
      </c>
      <c r="AL3" t="s">
        <v>272</v>
      </c>
      <c r="AN3" t="s">
        <v>833</v>
      </c>
      <c r="AP3" t="s">
        <v>279</v>
      </c>
      <c r="AQ3" t="s">
        <v>288</v>
      </c>
      <c r="AR3" t="s">
        <v>296</v>
      </c>
      <c r="AW3" s="36"/>
      <c r="BA3" t="s">
        <v>1440</v>
      </c>
      <c r="BB3" t="s">
        <v>2057</v>
      </c>
      <c r="BC3" s="217" t="s">
        <v>1546</v>
      </c>
      <c r="BD3" t="s">
        <v>559</v>
      </c>
      <c r="BE3" t="s">
        <v>1972</v>
      </c>
      <c r="BF3" s="348" t="s">
        <v>556</v>
      </c>
      <c r="BG3" s="348" t="s">
        <v>556</v>
      </c>
      <c r="BH3" s="348" t="s">
        <v>556</v>
      </c>
      <c r="BI3" t="s">
        <v>306</v>
      </c>
      <c r="BK3" t="s">
        <v>312</v>
      </c>
      <c r="BM3" t="s">
        <v>337</v>
      </c>
      <c r="BN3" t="s">
        <v>338</v>
      </c>
      <c r="BS3" t="s">
        <v>338</v>
      </c>
      <c r="BT3" t="s">
        <v>69</v>
      </c>
      <c r="BU3" t="s">
        <v>338</v>
      </c>
      <c r="BW3" t="s">
        <v>358</v>
      </c>
      <c r="BY3" t="s">
        <v>366</v>
      </c>
      <c r="CA3" t="s">
        <v>365</v>
      </c>
      <c r="CD3" t="s">
        <v>377</v>
      </c>
      <c r="CE3" t="s">
        <v>377</v>
      </c>
      <c r="CF3" t="s">
        <v>392</v>
      </c>
      <c r="CG3" t="s">
        <v>392</v>
      </c>
      <c r="CH3" t="s">
        <v>392</v>
      </c>
      <c r="CJ3" t="s">
        <v>22</v>
      </c>
      <c r="CM3" t="s">
        <v>358</v>
      </c>
      <c r="CN3" t="s">
        <v>358</v>
      </c>
      <c r="CO3" t="s">
        <v>358</v>
      </c>
      <c r="CQ3" t="s">
        <v>408</v>
      </c>
      <c r="CS3" t="s">
        <v>413</v>
      </c>
      <c r="CT3" t="s">
        <v>338</v>
      </c>
      <c r="CU3" t="s">
        <v>328</v>
      </c>
      <c r="CV3" t="s">
        <v>338</v>
      </c>
      <c r="CW3" t="s">
        <v>358</v>
      </c>
      <c r="CX3" t="s">
        <v>358</v>
      </c>
      <c r="CY3" t="s">
        <v>358</v>
      </c>
      <c r="CZ3" t="s">
        <v>358</v>
      </c>
      <c r="DA3" t="s">
        <v>426</v>
      </c>
      <c r="DB3">
        <v>1</v>
      </c>
      <c r="DD3" t="s">
        <v>22</v>
      </c>
      <c r="DE3" t="s">
        <v>338</v>
      </c>
      <c r="DG3" t="s">
        <v>390</v>
      </c>
      <c r="DI3" t="s">
        <v>548</v>
      </c>
      <c r="DJ3" t="s">
        <v>443</v>
      </c>
      <c r="DK3" t="s">
        <v>443</v>
      </c>
      <c r="DL3" t="s">
        <v>328</v>
      </c>
      <c r="DN3" s="112"/>
      <c r="DO3" s="213" t="s">
        <v>152</v>
      </c>
      <c r="DP3" s="213" t="s">
        <v>950</v>
      </c>
      <c r="DQ3" s="215" t="s">
        <v>951</v>
      </c>
      <c r="DR3" s="190" t="s">
        <v>569</v>
      </c>
      <c r="DS3" s="190" t="s">
        <v>570</v>
      </c>
      <c r="DT3" s="190" t="s">
        <v>571</v>
      </c>
      <c r="DU3" s="190" t="s">
        <v>572</v>
      </c>
      <c r="DV3" s="190" t="s">
        <v>573</v>
      </c>
      <c r="DW3" s="190" t="s">
        <v>574</v>
      </c>
      <c r="DX3" s="116" t="s">
        <v>948</v>
      </c>
      <c r="DY3" s="190" t="s">
        <v>575</v>
      </c>
      <c r="DZ3" s="190" t="s">
        <v>576</v>
      </c>
      <c r="EA3" s="190" t="s">
        <v>577</v>
      </c>
      <c r="EB3" s="190" t="s">
        <v>578</v>
      </c>
      <c r="EC3" s="190" t="s">
        <v>579</v>
      </c>
      <c r="ED3" s="190" t="s">
        <v>580</v>
      </c>
      <c r="EE3" s="190" t="s">
        <v>947</v>
      </c>
      <c r="EF3" s="116"/>
      <c r="EG3" s="35" t="s">
        <v>363</v>
      </c>
      <c r="EJ3" t="s">
        <v>26</v>
      </c>
      <c r="EK3" t="s">
        <v>69</v>
      </c>
      <c r="EM3" t="s">
        <v>603</v>
      </c>
      <c r="EN3" t="s">
        <v>603</v>
      </c>
      <c r="EO3" t="s">
        <v>603</v>
      </c>
      <c r="EQ3" t="s">
        <v>22</v>
      </c>
      <c r="ER3" t="s">
        <v>22</v>
      </c>
      <c r="ES3" t="s">
        <v>338</v>
      </c>
      <c r="ET3" t="s">
        <v>338</v>
      </c>
      <c r="EU3" t="s">
        <v>869</v>
      </c>
      <c r="EW3" t="s">
        <v>608</v>
      </c>
      <c r="EX3" t="s">
        <v>608</v>
      </c>
      <c r="EY3" t="s">
        <v>609</v>
      </c>
      <c r="FA3" s="217" t="s">
        <v>558</v>
      </c>
      <c r="FB3" s="217" t="s">
        <v>615</v>
      </c>
      <c r="FC3" t="s">
        <v>313</v>
      </c>
      <c r="FD3" t="s">
        <v>22</v>
      </c>
      <c r="FF3" s="395" t="s">
        <v>1881</v>
      </c>
      <c r="FG3" t="s">
        <v>313</v>
      </c>
      <c r="FH3" t="s">
        <v>313</v>
      </c>
      <c r="FJ3" t="s">
        <v>313</v>
      </c>
      <c r="FK3" t="s">
        <v>313</v>
      </c>
      <c r="FM3" t="s">
        <v>582</v>
      </c>
      <c r="FP3" t="s">
        <v>666</v>
      </c>
      <c r="FY3" s="35"/>
      <c r="FZ3" t="s">
        <v>228</v>
      </c>
      <c r="GA3" s="35"/>
      <c r="GC3" t="s">
        <v>228</v>
      </c>
      <c r="GG3" t="s">
        <v>228</v>
      </c>
      <c r="GI3" t="s">
        <v>228</v>
      </c>
      <c r="GJ3" t="s">
        <v>228</v>
      </c>
      <c r="GN3" t="s">
        <v>228</v>
      </c>
      <c r="GO3" t="s">
        <v>228</v>
      </c>
      <c r="GP3" t="s">
        <v>228</v>
      </c>
      <c r="GQ3" t="s">
        <v>228</v>
      </c>
      <c r="GR3" t="s">
        <v>228</v>
      </c>
      <c r="GS3" s="348"/>
      <c r="GT3" t="s">
        <v>228</v>
      </c>
      <c r="GW3" t="s">
        <v>228</v>
      </c>
      <c r="GX3" s="348"/>
      <c r="HA3" t="s">
        <v>608</v>
      </c>
      <c r="HB3" t="s">
        <v>608</v>
      </c>
      <c r="HC3" t="s">
        <v>608</v>
      </c>
      <c r="HD3" t="s">
        <v>608</v>
      </c>
      <c r="HE3" t="s">
        <v>608</v>
      </c>
      <c r="HF3" t="s">
        <v>608</v>
      </c>
      <c r="HG3" t="s">
        <v>608</v>
      </c>
      <c r="HH3" t="s">
        <v>608</v>
      </c>
      <c r="HI3" t="s">
        <v>608</v>
      </c>
      <c r="HJ3" t="s">
        <v>608</v>
      </c>
      <c r="HK3" t="s">
        <v>608</v>
      </c>
      <c r="HL3" t="s">
        <v>608</v>
      </c>
      <c r="HM3" t="s">
        <v>608</v>
      </c>
      <c r="HN3" t="s">
        <v>608</v>
      </c>
      <c r="HO3" t="s">
        <v>608</v>
      </c>
      <c r="HP3" t="s">
        <v>609</v>
      </c>
      <c r="HQ3" t="s">
        <v>609</v>
      </c>
      <c r="HR3" t="s">
        <v>609</v>
      </c>
      <c r="HS3" t="s">
        <v>609</v>
      </c>
      <c r="HT3" t="s">
        <v>609</v>
      </c>
      <c r="HU3" t="s">
        <v>609</v>
      </c>
      <c r="HX3" t="s">
        <v>1871</v>
      </c>
      <c r="HY3" t="s">
        <v>26</v>
      </c>
      <c r="HZ3" t="s">
        <v>26</v>
      </c>
      <c r="IA3" t="s">
        <v>26</v>
      </c>
      <c r="IB3" t="s">
        <v>328</v>
      </c>
      <c r="IC3" t="s">
        <v>26</v>
      </c>
      <c r="ID3" s="395" t="s">
        <v>1982</v>
      </c>
      <c r="IE3" t="s">
        <v>328</v>
      </c>
      <c r="IF3" t="s">
        <v>764</v>
      </c>
      <c r="IG3" t="s">
        <v>764</v>
      </c>
      <c r="IH3" t="s">
        <v>764</v>
      </c>
      <c r="II3" t="s">
        <v>764</v>
      </c>
      <c r="IJ3" t="s">
        <v>328</v>
      </c>
      <c r="IK3" t="s">
        <v>328</v>
      </c>
      <c r="IL3" s="395" t="s">
        <v>1982</v>
      </c>
      <c r="IM3" t="s">
        <v>765</v>
      </c>
      <c r="IN3" t="s">
        <v>332</v>
      </c>
      <c r="IO3" t="s">
        <v>332</v>
      </c>
      <c r="IP3" t="s">
        <v>328</v>
      </c>
      <c r="IQ3" t="s">
        <v>328</v>
      </c>
      <c r="IR3" s="395" t="s">
        <v>1982</v>
      </c>
      <c r="IS3" s="395" t="s">
        <v>1982</v>
      </c>
      <c r="IT3" t="s">
        <v>26</v>
      </c>
      <c r="IU3" t="s">
        <v>26</v>
      </c>
      <c r="IV3" t="s">
        <v>26</v>
      </c>
      <c r="IW3" t="s">
        <v>334</v>
      </c>
      <c r="IX3" s="217" t="s">
        <v>559</v>
      </c>
      <c r="IY3" t="s">
        <v>554</v>
      </c>
      <c r="IZ3" t="s">
        <v>22</v>
      </c>
      <c r="JA3" t="s">
        <v>338</v>
      </c>
      <c r="JB3" t="s">
        <v>338</v>
      </c>
      <c r="JC3" t="s">
        <v>338</v>
      </c>
      <c r="JD3" t="s">
        <v>338</v>
      </c>
      <c r="JE3" t="s">
        <v>792</v>
      </c>
      <c r="JF3" t="s">
        <v>338</v>
      </c>
      <c r="JG3" t="s">
        <v>338</v>
      </c>
      <c r="JH3" t="s">
        <v>69</v>
      </c>
      <c r="JI3" t="s">
        <v>22</v>
      </c>
      <c r="JJ3" t="s">
        <v>22</v>
      </c>
      <c r="JK3" t="s">
        <v>22</v>
      </c>
      <c r="JL3" t="s">
        <v>22</v>
      </c>
      <c r="JM3" t="s">
        <v>22</v>
      </c>
      <c r="JN3" t="s">
        <v>22</v>
      </c>
      <c r="JO3" t="s">
        <v>22</v>
      </c>
      <c r="JP3" t="s">
        <v>22</v>
      </c>
      <c r="JQ3" t="s">
        <v>22</v>
      </c>
      <c r="JR3" t="s">
        <v>22</v>
      </c>
      <c r="JS3" t="s">
        <v>69</v>
      </c>
      <c r="JT3" t="s">
        <v>22</v>
      </c>
      <c r="JU3" t="s">
        <v>22</v>
      </c>
      <c r="JV3" t="s">
        <v>22</v>
      </c>
      <c r="JW3" t="s">
        <v>22</v>
      </c>
      <c r="JX3" t="s">
        <v>338</v>
      </c>
      <c r="JY3" s="250" t="s">
        <v>22</v>
      </c>
      <c r="KB3" s="217" t="s">
        <v>559</v>
      </c>
      <c r="KC3" s="217" t="s">
        <v>559</v>
      </c>
      <c r="KD3" t="s">
        <v>1972</v>
      </c>
      <c r="KF3" t="s">
        <v>233</v>
      </c>
      <c r="KG3" t="s">
        <v>656</v>
      </c>
      <c r="KK3" t="s">
        <v>838</v>
      </c>
      <c r="KN3" t="s">
        <v>844</v>
      </c>
      <c r="KP3" t="s">
        <v>846</v>
      </c>
      <c r="KQ3" t="s">
        <v>847</v>
      </c>
      <c r="KR3" t="s">
        <v>849</v>
      </c>
      <c r="KS3" t="s">
        <v>852</v>
      </c>
      <c r="KV3" t="s">
        <v>26</v>
      </c>
      <c r="KY3" t="s">
        <v>846</v>
      </c>
      <c r="KZ3" t="s">
        <v>854</v>
      </c>
      <c r="LA3" t="s">
        <v>26</v>
      </c>
      <c r="LB3" t="s">
        <v>857</v>
      </c>
      <c r="LC3" t="s">
        <v>839</v>
      </c>
      <c r="LD3" t="s">
        <v>859</v>
      </c>
      <c r="LJ3" t="s">
        <v>427</v>
      </c>
      <c r="LK3">
        <v>0</v>
      </c>
      <c r="LP3" t="s">
        <v>343</v>
      </c>
      <c r="LQ3" t="s">
        <v>345</v>
      </c>
      <c r="LR3" t="s">
        <v>347</v>
      </c>
      <c r="LS3" t="s">
        <v>351</v>
      </c>
      <c r="LU3" t="s">
        <v>354</v>
      </c>
      <c r="LW3" s="204" t="s">
        <v>307</v>
      </c>
      <c r="LX3" s="194" t="s">
        <v>884</v>
      </c>
      <c r="LY3" s="241" t="s">
        <v>1073</v>
      </c>
      <c r="LZ3" s="194" t="s">
        <v>468</v>
      </c>
      <c r="MA3" s="194" t="s">
        <v>490</v>
      </c>
      <c r="MB3" s="194"/>
      <c r="MD3" s="209" t="s">
        <v>867</v>
      </c>
      <c r="ME3" s="195" t="s">
        <v>307</v>
      </c>
      <c r="MF3" s="195" t="s">
        <v>307</v>
      </c>
      <c r="MG3" s="195" t="s">
        <v>338</v>
      </c>
      <c r="MI3" t="s">
        <v>324</v>
      </c>
      <c r="MJ3" s="195" t="s">
        <v>22</v>
      </c>
      <c r="MK3" t="s">
        <v>310</v>
      </c>
      <c r="ML3" t="s">
        <v>69</v>
      </c>
      <c r="MN3" t="s">
        <v>980</v>
      </c>
      <c r="MP3" t="s">
        <v>988</v>
      </c>
      <c r="MQ3" t="s">
        <v>989</v>
      </c>
      <c r="MR3" t="s">
        <v>29</v>
      </c>
      <c r="MS3" t="s">
        <v>990</v>
      </c>
      <c r="MU3" t="s">
        <v>328</v>
      </c>
      <c r="MX3" t="s">
        <v>1002</v>
      </c>
      <c r="MY3">
        <v>2</v>
      </c>
      <c r="ND3" t="s">
        <v>1823</v>
      </c>
      <c r="NN3" t="s">
        <v>312</v>
      </c>
      <c r="NO3" s="239" t="s">
        <v>69</v>
      </c>
      <c r="NP3" s="239" t="s">
        <v>22</v>
      </c>
      <c r="NQ3" s="239" t="s">
        <v>22</v>
      </c>
      <c r="NR3" s="239" t="s">
        <v>22</v>
      </c>
      <c r="NS3" s="239" t="s">
        <v>22</v>
      </c>
      <c r="NT3" s="239" t="s">
        <v>22</v>
      </c>
      <c r="NU3" s="239" t="s">
        <v>22</v>
      </c>
      <c r="NV3" s="239" t="s">
        <v>22</v>
      </c>
      <c r="NW3" s="239" t="s">
        <v>22</v>
      </c>
      <c r="NX3" s="239" t="s">
        <v>22</v>
      </c>
      <c r="NY3" s="239" t="s">
        <v>22</v>
      </c>
      <c r="NZ3" s="239" t="s">
        <v>22</v>
      </c>
      <c r="OA3" s="239" t="s">
        <v>22</v>
      </c>
      <c r="OB3" s="239" t="s">
        <v>22</v>
      </c>
      <c r="OC3" s="239" t="s">
        <v>22</v>
      </c>
      <c r="OD3" s="239" t="s">
        <v>22</v>
      </c>
      <c r="OE3" s="239" t="s">
        <v>338</v>
      </c>
      <c r="OF3" t="s">
        <v>69</v>
      </c>
      <c r="OG3" s="250" t="s">
        <v>22</v>
      </c>
      <c r="OH3" t="s">
        <v>22</v>
      </c>
      <c r="OL3" t="s">
        <v>366</v>
      </c>
      <c r="PB3" t="s">
        <v>1099</v>
      </c>
      <c r="PC3" t="s">
        <v>1100</v>
      </c>
      <c r="PD3" t="s">
        <v>1100</v>
      </c>
      <c r="PE3" t="s">
        <v>1095</v>
      </c>
      <c r="PG3" t="s">
        <v>1101</v>
      </c>
      <c r="PH3" t="s">
        <v>414</v>
      </c>
      <c r="PI3" t="s">
        <v>1102</v>
      </c>
      <c r="PJ3" t="s">
        <v>1102</v>
      </c>
      <c r="PL3" t="s">
        <v>1097</v>
      </c>
      <c r="PU3" t="s">
        <v>28</v>
      </c>
      <c r="PW3" t="s">
        <v>22</v>
      </c>
      <c r="PX3" t="s">
        <v>113</v>
      </c>
      <c r="PY3" t="s">
        <v>414</v>
      </c>
      <c r="PZ3" t="s">
        <v>414</v>
      </c>
      <c r="QB3" t="s">
        <v>22</v>
      </c>
      <c r="QC3" t="s">
        <v>22</v>
      </c>
      <c r="QE3" t="s">
        <v>839</v>
      </c>
      <c r="QF3" t="s">
        <v>838</v>
      </c>
      <c r="QG3" t="s">
        <v>1102</v>
      </c>
      <c r="QH3" t="s">
        <v>26</v>
      </c>
      <c r="QI3" t="s">
        <v>22</v>
      </c>
      <c r="QJ3" t="s">
        <v>28</v>
      </c>
      <c r="QK3" t="s">
        <v>28</v>
      </c>
      <c r="QL3" t="s">
        <v>1419</v>
      </c>
      <c r="QM3" t="s">
        <v>1419</v>
      </c>
      <c r="RB3" t="s">
        <v>1174</v>
      </c>
      <c r="RC3" t="s">
        <v>1177</v>
      </c>
      <c r="RD3" t="s">
        <v>1177</v>
      </c>
      <c r="RF3" t="s">
        <v>1177</v>
      </c>
      <c r="RG3" t="s">
        <v>1177</v>
      </c>
      <c r="RI3" t="s">
        <v>1177</v>
      </c>
      <c r="RJ3" t="s">
        <v>1177</v>
      </c>
      <c r="RL3" t="s">
        <v>1177</v>
      </c>
      <c r="RM3" t="s">
        <v>1177</v>
      </c>
      <c r="RN3" t="s">
        <v>1177</v>
      </c>
      <c r="RU3" t="s">
        <v>1212</v>
      </c>
      <c r="RV3" t="s">
        <v>28</v>
      </c>
      <c r="RW3" s="245">
        <v>1</v>
      </c>
      <c r="SD3" t="s">
        <v>1217</v>
      </c>
      <c r="SE3" t="s">
        <v>1217</v>
      </c>
      <c r="SF3" t="s">
        <v>1218</v>
      </c>
      <c r="SG3" t="s">
        <v>1218</v>
      </c>
      <c r="SH3" t="s">
        <v>1220</v>
      </c>
      <c r="SI3" t="s">
        <v>1220</v>
      </c>
      <c r="SJ3" t="s">
        <v>1220</v>
      </c>
      <c r="SK3" t="s">
        <v>1220</v>
      </c>
      <c r="SL3" t="s">
        <v>1218</v>
      </c>
      <c r="SM3" t="s">
        <v>1220</v>
      </c>
      <c r="SN3" t="s">
        <v>1220</v>
      </c>
      <c r="SO3" t="s">
        <v>1220</v>
      </c>
      <c r="SP3" t="s">
        <v>1220</v>
      </c>
      <c r="SQ3" t="s">
        <v>1161</v>
      </c>
      <c r="SR3" t="s">
        <v>1217</v>
      </c>
      <c r="SS3" t="s">
        <v>1161</v>
      </c>
      <c r="TA3" s="215" t="s">
        <v>1174</v>
      </c>
      <c r="TB3" s="207" t="str">
        <f>SF1</f>
        <v xml:space="preserve"> 38mm Single Cellular Blind Blockout Standard</v>
      </c>
      <c r="TC3" s="207" t="str">
        <f>SD1</f>
        <v xml:space="preserve"> 38mm Single Cellular Blind Translucent Standard</v>
      </c>
      <c r="TD3" s="207" t="str">
        <f>SQ1</f>
        <v xml:space="preserve"> 38mm Single Cellular Blind Translucent Crush</v>
      </c>
      <c r="TE3" s="207" t="str">
        <f>SL1</f>
        <v xml:space="preserve"> 38mm Single Cellular Blind Translucent Linen</v>
      </c>
      <c r="TF3" s="207" t="str">
        <f>SN1</f>
        <v xml:space="preserve"> 38mm Single Cellular Blind Translucent Paisley</v>
      </c>
      <c r="TG3" s="207" t="str">
        <f>SH1</f>
        <v xml:space="preserve"> 38mm Single Cellular Blind Translucent Sheer</v>
      </c>
      <c r="TH3" s="207" t="str">
        <f>SM1</f>
        <v xml:space="preserve"> 38mm Single Cellular Blind Translucent Thatched</v>
      </c>
      <c r="TI3" s="207" t="str">
        <f>SJ1</f>
        <v xml:space="preserve"> 38mm Single Cellular Blind Translucent Woven</v>
      </c>
      <c r="TJ3" s="207" t="str">
        <f>$SF$1</f>
        <v xml:space="preserve"> 38mm Single Cellular Blind Blockout Standard</v>
      </c>
      <c r="TK3" s="207" t="str">
        <f>$WN$1</f>
        <v>Cellular Colour 2 38mm Single Cellular Blind</v>
      </c>
      <c r="TL3" s="35" t="s">
        <v>1271</v>
      </c>
      <c r="TM3" s="212" t="s">
        <v>1271</v>
      </c>
      <c r="TN3" s="35" t="s">
        <v>1255</v>
      </c>
      <c r="TO3" s="212" t="s">
        <v>1255</v>
      </c>
      <c r="TP3" s="35" t="s">
        <v>1311</v>
      </c>
      <c r="TQ3" s="212" t="s">
        <v>1311</v>
      </c>
      <c r="TR3" s="35" t="s">
        <v>1316</v>
      </c>
      <c r="TS3" s="35" t="s">
        <v>1321</v>
      </c>
      <c r="TT3" s="35" t="s">
        <v>1326</v>
      </c>
      <c r="TU3" s="212" t="s">
        <v>1321</v>
      </c>
      <c r="TV3" s="212" t="s">
        <v>1326</v>
      </c>
      <c r="TW3" s="35" t="s">
        <v>1291</v>
      </c>
      <c r="TX3" s="250" t="s">
        <v>1271</v>
      </c>
      <c r="UB3" t="s">
        <v>1297</v>
      </c>
      <c r="UC3" t="s">
        <v>1212</v>
      </c>
      <c r="UM3" t="s">
        <v>1456</v>
      </c>
      <c r="UN3" t="s">
        <v>1454</v>
      </c>
      <c r="UU3" s="254" t="s">
        <v>1212</v>
      </c>
      <c r="UV3" s="254" t="str">
        <f>VA1</f>
        <v>Corded Day Night 25mm Single</v>
      </c>
      <c r="UW3" s="254" t="str">
        <f>VL1</f>
        <v>Corded Day Night 38mm Single</v>
      </c>
      <c r="UX3" s="254" t="str">
        <f>VW1</f>
        <v>Corded Day Night 38mm Double</v>
      </c>
      <c r="UY3" t="s">
        <v>1177</v>
      </c>
      <c r="UZ3" t="s">
        <v>1177</v>
      </c>
      <c r="VA3" t="s">
        <v>1444</v>
      </c>
      <c r="VB3" t="s">
        <v>1177</v>
      </c>
      <c r="VC3" t="s">
        <v>1177</v>
      </c>
      <c r="VD3" t="s">
        <v>1444</v>
      </c>
      <c r="VE3" t="s">
        <v>1177</v>
      </c>
      <c r="VF3" t="s">
        <v>1177</v>
      </c>
      <c r="VG3" t="s">
        <v>1444</v>
      </c>
      <c r="VH3" t="s">
        <v>1177</v>
      </c>
      <c r="VI3" t="s">
        <v>1177</v>
      </c>
      <c r="VJ3" t="s">
        <v>1177</v>
      </c>
      <c r="VK3" t="s">
        <v>1177</v>
      </c>
      <c r="VL3" t="s">
        <v>1444</v>
      </c>
      <c r="VM3" t="s">
        <v>1177</v>
      </c>
      <c r="VN3" t="s">
        <v>1177</v>
      </c>
      <c r="VO3" t="s">
        <v>1444</v>
      </c>
      <c r="VP3" t="s">
        <v>1177</v>
      </c>
      <c r="VQ3" t="s">
        <v>1177</v>
      </c>
      <c r="VR3" t="s">
        <v>1444</v>
      </c>
      <c r="VS3" t="s">
        <v>1177</v>
      </c>
      <c r="VT3" t="s">
        <v>1177</v>
      </c>
      <c r="VU3" t="s">
        <v>1177</v>
      </c>
      <c r="VV3" t="s">
        <v>1177</v>
      </c>
      <c r="VW3" t="s">
        <v>1444</v>
      </c>
      <c r="VX3" t="s">
        <v>1177</v>
      </c>
      <c r="VY3" t="s">
        <v>1177</v>
      </c>
      <c r="VZ3" t="s">
        <v>1444</v>
      </c>
      <c r="WA3" t="s">
        <v>1177</v>
      </c>
      <c r="WB3" t="s">
        <v>1177</v>
      </c>
      <c r="WC3" t="s">
        <v>1444</v>
      </c>
      <c r="WD3" t="s">
        <v>1177</v>
      </c>
      <c r="WE3" t="s">
        <v>1177</v>
      </c>
      <c r="WF3" t="s">
        <v>1177</v>
      </c>
      <c r="WM3" s="212" t="s">
        <v>1271</v>
      </c>
      <c r="WN3" s="35" t="s">
        <v>1271</v>
      </c>
      <c r="WO3" s="250" t="s">
        <v>1271</v>
      </c>
      <c r="WY3" s="215" t="s">
        <v>1174</v>
      </c>
      <c r="WZ3" s="258" t="str">
        <f t="shared" si="0"/>
        <v>Cellular Colour 2 NA</v>
      </c>
      <c r="XA3" s="258" t="str">
        <f t="shared" si="0"/>
        <v>Cellular Colour 2 NA</v>
      </c>
      <c r="XB3" s="258" t="str">
        <f t="shared" si="1"/>
        <v>Cellular Colour 2 NA</v>
      </c>
      <c r="XC3" s="258" t="str">
        <f t="shared" si="1"/>
        <v>Cellular Colour 2 NA</v>
      </c>
      <c r="XD3" s="258" t="str">
        <f t="shared" si="1"/>
        <v>Cellular Colour 2 NA</v>
      </c>
      <c r="XE3" s="258" t="str">
        <f t="shared" si="1"/>
        <v>Cellular Colour 2 NA</v>
      </c>
      <c r="XF3" s="258" t="str">
        <f t="shared" si="1"/>
        <v>Cellular Colour 2 NA</v>
      </c>
      <c r="XG3" s="258" t="str">
        <f t="shared" si="1"/>
        <v>Cellular Colour 2 NA</v>
      </c>
      <c r="XH3" s="207" t="str">
        <f>$WN$1</f>
        <v>Cellular Colour 2 38mm Single Cellular Blind</v>
      </c>
      <c r="XI3" s="207" t="str">
        <f>$SF$1</f>
        <v xml:space="preserve"> 38mm Single Cellular Blind Blockout Standard</v>
      </c>
      <c r="XL3" t="s">
        <v>1212</v>
      </c>
      <c r="XM3" s="35" t="s">
        <v>28</v>
      </c>
      <c r="XN3" s="214" t="s">
        <v>1194</v>
      </c>
      <c r="XO3" s="214" t="s">
        <v>1194</v>
      </c>
      <c r="XS3" s="35" t="s">
        <v>28</v>
      </c>
      <c r="XT3" s="35" t="s">
        <v>1196</v>
      </c>
      <c r="XU3" s="35" t="s">
        <v>1196</v>
      </c>
      <c r="XV3" s="35"/>
      <c r="XW3" s="35"/>
      <c r="XX3" t="s">
        <v>28</v>
      </c>
      <c r="XZ3" s="207" t="s">
        <v>1175</v>
      </c>
      <c r="YB3" s="207" t="s">
        <v>1212</v>
      </c>
      <c r="YC3" s="207">
        <v>10.98</v>
      </c>
      <c r="YE3" s="207" t="s">
        <v>1212</v>
      </c>
      <c r="YF3" s="214">
        <v>9.15</v>
      </c>
      <c r="YG3" s="207" t="s">
        <v>1212</v>
      </c>
      <c r="YH3" s="214">
        <v>9.15</v>
      </c>
      <c r="YK3" t="s">
        <v>1130</v>
      </c>
      <c r="YL3" t="str">
        <f>$CS$17</f>
        <v>Oval Bottom Rail 2</v>
      </c>
      <c r="YM3" t="str">
        <f t="shared" ref="YM3:YM15" si="2">$CT$2</f>
        <v>Sewn In Pocket</v>
      </c>
      <c r="ZB3" t="s">
        <v>1130</v>
      </c>
      <c r="ZC3">
        <v>3</v>
      </c>
      <c r="ZD3" t="s">
        <v>413</v>
      </c>
      <c r="ZL3">
        <v>3</v>
      </c>
      <c r="ZM3" t="s">
        <v>1486</v>
      </c>
      <c r="ZN3" t="s">
        <v>1519</v>
      </c>
      <c r="ZO3" t="s">
        <v>1520</v>
      </c>
      <c r="ZP3" t="s">
        <v>1521</v>
      </c>
      <c r="ZQ3" t="s">
        <v>1522</v>
      </c>
      <c r="ZR3" t="s">
        <v>1523</v>
      </c>
      <c r="ZW3">
        <v>3</v>
      </c>
      <c r="ZX3">
        <v>1200</v>
      </c>
      <c r="ZY3">
        <v>3000</v>
      </c>
      <c r="AAE3" s="207" t="s">
        <v>307</v>
      </c>
      <c r="AAF3" s="207" t="str">
        <f>$AAF$23</f>
        <v>TimberEcoPaintedHingeNew</v>
      </c>
      <c r="AAG3" s="207" t="str">
        <f>$AAE$23</f>
        <v>FauxwoodEcoHingeNew</v>
      </c>
      <c r="AAH3" s="207" t="str">
        <f>$AAE$23</f>
        <v>FauxwoodEcoHingeNew</v>
      </c>
      <c r="AAR3" s="207" t="s">
        <v>1549</v>
      </c>
      <c r="AAS3" s="207" t="s">
        <v>1863</v>
      </c>
      <c r="AAY3" s="207" t="s">
        <v>1946</v>
      </c>
      <c r="AAZ3" s="207">
        <v>2</v>
      </c>
      <c r="ABA3" t="s">
        <v>2045</v>
      </c>
      <c r="ABB3" t="s">
        <v>793</v>
      </c>
    </row>
    <row r="4" spans="1:731" ht="15">
      <c r="A4" t="s">
        <v>51</v>
      </c>
      <c r="B4">
        <v>38</v>
      </c>
      <c r="C4" t="s">
        <v>52</v>
      </c>
      <c r="D4" t="s">
        <v>53</v>
      </c>
      <c r="E4" t="s">
        <v>54</v>
      </c>
      <c r="F4" t="s">
        <v>55</v>
      </c>
      <c r="G4" t="s">
        <v>56</v>
      </c>
      <c r="H4" t="s">
        <v>57</v>
      </c>
      <c r="I4" t="s">
        <v>38</v>
      </c>
      <c r="J4">
        <v>8000</v>
      </c>
      <c r="K4" t="s">
        <v>58</v>
      </c>
      <c r="L4" t="s">
        <v>30</v>
      </c>
      <c r="M4">
        <v>801</v>
      </c>
      <c r="N4" t="s">
        <v>5</v>
      </c>
      <c r="O4">
        <v>217050</v>
      </c>
      <c r="P4" t="s">
        <v>11</v>
      </c>
      <c r="Q4">
        <v>2238</v>
      </c>
      <c r="R4" t="s">
        <v>50</v>
      </c>
      <c r="S4" t="s">
        <v>21</v>
      </c>
      <c r="T4">
        <v>2130</v>
      </c>
      <c r="V4" s="2"/>
      <c r="W4" t="s">
        <v>214</v>
      </c>
      <c r="Y4" t="s">
        <v>372</v>
      </c>
      <c r="Z4" t="s">
        <v>242</v>
      </c>
      <c r="AA4" s="35" t="s">
        <v>442</v>
      </c>
      <c r="AB4" t="s">
        <v>1142</v>
      </c>
      <c r="AD4" t="s">
        <v>220</v>
      </c>
      <c r="AF4" t="s">
        <v>342</v>
      </c>
      <c r="AH4" t="s">
        <v>350</v>
      </c>
      <c r="AI4" t="s">
        <v>227</v>
      </c>
      <c r="AJ4" t="s">
        <v>233</v>
      </c>
      <c r="AL4" t="s">
        <v>276</v>
      </c>
      <c r="AN4" t="s">
        <v>255</v>
      </c>
      <c r="AP4" t="s">
        <v>280</v>
      </c>
      <c r="AQ4" t="s">
        <v>290</v>
      </c>
      <c r="AR4" t="s">
        <v>229</v>
      </c>
      <c r="AW4" s="36"/>
      <c r="BA4" t="s">
        <v>1530</v>
      </c>
      <c r="BB4" t="s">
        <v>1811</v>
      </c>
      <c r="BC4" s="348" t="s">
        <v>1783</v>
      </c>
      <c r="BD4" t="s">
        <v>568</v>
      </c>
      <c r="BE4" t="s">
        <v>1973</v>
      </c>
      <c r="BF4" s="348" t="s">
        <v>555</v>
      </c>
      <c r="BG4" s="348" t="s">
        <v>555</v>
      </c>
      <c r="BH4" s="348" t="s">
        <v>555</v>
      </c>
      <c r="BI4" t="s">
        <v>307</v>
      </c>
      <c r="BK4" t="s">
        <v>313</v>
      </c>
      <c r="BM4" t="s">
        <v>334</v>
      </c>
      <c r="BT4" t="s">
        <v>22</v>
      </c>
      <c r="BW4" t="s">
        <v>356</v>
      </c>
      <c r="BY4" t="s">
        <v>367</v>
      </c>
      <c r="CA4" t="s">
        <v>364</v>
      </c>
      <c r="CE4" t="s">
        <v>379</v>
      </c>
      <c r="CG4" t="s">
        <v>410</v>
      </c>
      <c r="CH4" t="s">
        <v>410</v>
      </c>
      <c r="CJ4" t="s">
        <v>69</v>
      </c>
      <c r="CN4" t="s">
        <v>356</v>
      </c>
      <c r="CO4" t="s">
        <v>356</v>
      </c>
      <c r="CQ4" t="s">
        <v>22</v>
      </c>
      <c r="CS4" t="s">
        <v>412</v>
      </c>
      <c r="CU4" t="s">
        <v>414</v>
      </c>
      <c r="CW4" t="s">
        <v>356</v>
      </c>
      <c r="CX4" t="s">
        <v>356</v>
      </c>
      <c r="CY4" t="s">
        <v>356</v>
      </c>
      <c r="DA4" t="s">
        <v>427</v>
      </c>
      <c r="DB4">
        <v>1</v>
      </c>
      <c r="DD4" t="s">
        <v>69</v>
      </c>
      <c r="DG4" t="s">
        <v>452</v>
      </c>
      <c r="DI4" t="s">
        <v>549</v>
      </c>
      <c r="DJ4" t="s">
        <v>442</v>
      </c>
      <c r="DK4" t="s">
        <v>442</v>
      </c>
      <c r="DL4" t="s">
        <v>414</v>
      </c>
      <c r="DN4" s="112"/>
      <c r="DO4" s="207" t="s">
        <v>426</v>
      </c>
      <c r="DP4" s="207">
        <v>1</v>
      </c>
      <c r="DQ4" s="207">
        <f>LEN(DO4)-LEN(SUBSTITUTE(DO4,"T",""))</f>
        <v>0</v>
      </c>
      <c r="DR4" s="195" t="s">
        <v>22</v>
      </c>
      <c r="DS4" s="195" t="s">
        <v>22</v>
      </c>
      <c r="DT4" s="195" t="s">
        <v>398</v>
      </c>
      <c r="DU4" s="195" t="s">
        <v>397</v>
      </c>
      <c r="DV4" s="195" t="s">
        <v>22</v>
      </c>
      <c r="DW4" s="195" t="s">
        <v>69</v>
      </c>
      <c r="DX4" s="195" t="s">
        <v>338</v>
      </c>
      <c r="DY4" s="195" t="s">
        <v>22</v>
      </c>
      <c r="DZ4" s="195" t="s">
        <v>22</v>
      </c>
      <c r="EA4" s="195" t="s">
        <v>22</v>
      </c>
      <c r="EB4" s="195" t="s">
        <v>22</v>
      </c>
      <c r="EC4" s="195" t="s">
        <v>22</v>
      </c>
      <c r="ED4" s="195" t="s">
        <v>69</v>
      </c>
      <c r="EE4" s="195" t="s">
        <v>338</v>
      </c>
      <c r="EG4" t="s">
        <v>22</v>
      </c>
      <c r="EJ4" t="s">
        <v>591</v>
      </c>
      <c r="EK4" t="s">
        <v>22</v>
      </c>
      <c r="EL4" t="s">
        <v>655</v>
      </c>
      <c r="EM4" s="394" t="s">
        <v>1870</v>
      </c>
      <c r="EN4" t="s">
        <v>1870</v>
      </c>
      <c r="EO4" t="s">
        <v>1870</v>
      </c>
      <c r="ER4" t="s">
        <v>69</v>
      </c>
      <c r="EU4" t="s">
        <v>870</v>
      </c>
      <c r="EW4" t="s">
        <v>609</v>
      </c>
      <c r="EX4" t="s">
        <v>609</v>
      </c>
      <c r="FA4" s="217" t="s">
        <v>559</v>
      </c>
      <c r="FB4" s="217" t="s">
        <v>615</v>
      </c>
      <c r="FC4" t="s">
        <v>322</v>
      </c>
      <c r="FD4" t="s">
        <v>22</v>
      </c>
      <c r="FF4" t="s">
        <v>619</v>
      </c>
      <c r="FG4" s="35" t="s">
        <v>1531</v>
      </c>
      <c r="FH4" s="35" t="s">
        <v>1531</v>
      </c>
      <c r="FJ4" s="250" t="s">
        <v>1531</v>
      </c>
      <c r="FK4" s="250" t="s">
        <v>1531</v>
      </c>
      <c r="FM4" t="s">
        <v>320</v>
      </c>
      <c r="FP4" t="s">
        <v>667</v>
      </c>
      <c r="HA4" t="s">
        <v>609</v>
      </c>
      <c r="HB4" t="s">
        <v>609</v>
      </c>
      <c r="HC4" t="s">
        <v>609</v>
      </c>
      <c r="HD4" t="s">
        <v>609</v>
      </c>
      <c r="HE4" t="s">
        <v>609</v>
      </c>
      <c r="HF4" t="s">
        <v>609</v>
      </c>
      <c r="HG4" t="s">
        <v>609</v>
      </c>
      <c r="HH4" t="s">
        <v>609</v>
      </c>
      <c r="HI4" t="s">
        <v>609</v>
      </c>
      <c r="HJ4" t="s">
        <v>609</v>
      </c>
      <c r="HK4" t="s">
        <v>609</v>
      </c>
      <c r="HL4" t="s">
        <v>609</v>
      </c>
      <c r="HM4" t="s">
        <v>609</v>
      </c>
      <c r="HN4" t="s">
        <v>609</v>
      </c>
      <c r="HO4" t="s">
        <v>609</v>
      </c>
      <c r="HP4" t="s">
        <v>609</v>
      </c>
      <c r="HQ4" t="s">
        <v>609</v>
      </c>
      <c r="HR4" t="s">
        <v>609</v>
      </c>
      <c r="HX4" t="s">
        <v>1872</v>
      </c>
      <c r="ID4" s="395" t="s">
        <v>334</v>
      </c>
      <c r="IF4" t="s">
        <v>328</v>
      </c>
      <c r="IG4" t="s">
        <v>328</v>
      </c>
      <c r="IH4" t="s">
        <v>328</v>
      </c>
      <c r="II4" t="s">
        <v>328</v>
      </c>
      <c r="IL4" s="395" t="s">
        <v>334</v>
      </c>
      <c r="IM4" t="s">
        <v>328</v>
      </c>
      <c r="IN4" t="s">
        <v>328</v>
      </c>
      <c r="IO4" t="s">
        <v>328</v>
      </c>
      <c r="IR4" s="395" t="s">
        <v>334</v>
      </c>
      <c r="IS4" s="395" t="s">
        <v>334</v>
      </c>
      <c r="IW4" t="s">
        <v>333</v>
      </c>
      <c r="IX4" s="217" t="s">
        <v>568</v>
      </c>
      <c r="IY4" t="s">
        <v>555</v>
      </c>
      <c r="JE4" t="s">
        <v>793</v>
      </c>
      <c r="JH4" t="s">
        <v>396</v>
      </c>
      <c r="JI4" t="s">
        <v>69</v>
      </c>
      <c r="JJ4" t="s">
        <v>69</v>
      </c>
      <c r="JK4" t="s">
        <v>69</v>
      </c>
      <c r="JL4" t="s">
        <v>69</v>
      </c>
      <c r="JM4" t="s">
        <v>69</v>
      </c>
      <c r="JN4" t="s">
        <v>69</v>
      </c>
      <c r="JO4" t="s">
        <v>69</v>
      </c>
      <c r="JP4" t="s">
        <v>69</v>
      </c>
      <c r="JQ4" t="s">
        <v>69</v>
      </c>
      <c r="JR4" t="s">
        <v>69</v>
      </c>
      <c r="JS4" t="s">
        <v>396</v>
      </c>
      <c r="JT4" t="s">
        <v>69</v>
      </c>
      <c r="JU4" t="s">
        <v>69</v>
      </c>
      <c r="JV4" t="s">
        <v>69</v>
      </c>
      <c r="JW4" t="s">
        <v>69</v>
      </c>
      <c r="JY4" s="250" t="s">
        <v>69</v>
      </c>
      <c r="KB4" s="217" t="s">
        <v>558</v>
      </c>
      <c r="KC4" s="217" t="s">
        <v>568</v>
      </c>
      <c r="KD4" t="s">
        <v>1973</v>
      </c>
      <c r="KF4" t="s">
        <v>234</v>
      </c>
      <c r="KG4" t="s">
        <v>656</v>
      </c>
      <c r="KK4" t="s">
        <v>839</v>
      </c>
      <c r="KQ4" t="s">
        <v>850</v>
      </c>
      <c r="KV4" t="s">
        <v>342</v>
      </c>
      <c r="LJ4" t="s">
        <v>425</v>
      </c>
      <c r="LK4">
        <v>0</v>
      </c>
      <c r="LR4" t="s">
        <v>348</v>
      </c>
      <c r="LW4" s="200" t="s">
        <v>309</v>
      </c>
      <c r="LX4" s="194" t="s">
        <v>533</v>
      </c>
      <c r="LY4" s="194" t="s">
        <v>489</v>
      </c>
      <c r="LZ4" s="194" t="s">
        <v>469</v>
      </c>
      <c r="MA4" s="194" t="s">
        <v>491</v>
      </c>
      <c r="MB4" s="194"/>
      <c r="MD4" s="210" t="s">
        <v>883</v>
      </c>
      <c r="ME4" s="195" t="s">
        <v>310</v>
      </c>
      <c r="MF4" s="195" t="s">
        <v>306</v>
      </c>
      <c r="MI4" t="s">
        <v>325</v>
      </c>
      <c r="MJ4" s="195" t="s">
        <v>22</v>
      </c>
      <c r="MK4" t="s">
        <v>306</v>
      </c>
      <c r="ML4" t="s">
        <v>22</v>
      </c>
      <c r="MN4" t="s">
        <v>982</v>
      </c>
      <c r="MP4" t="s">
        <v>991</v>
      </c>
      <c r="MQ4" t="s">
        <v>992</v>
      </c>
      <c r="MR4" t="s">
        <v>23</v>
      </c>
      <c r="MS4" t="s">
        <v>993</v>
      </c>
      <c r="MU4" t="s">
        <v>411</v>
      </c>
      <c r="MX4" t="s">
        <v>1003</v>
      </c>
      <c r="MY4">
        <v>2</v>
      </c>
      <c r="ND4" t="s">
        <v>1824</v>
      </c>
      <c r="NN4" t="s">
        <v>313</v>
      </c>
      <c r="NO4" s="239" t="s">
        <v>396</v>
      </c>
      <c r="NP4" s="239" t="s">
        <v>69</v>
      </c>
      <c r="NQ4" s="239" t="s">
        <v>69</v>
      </c>
      <c r="NR4" s="239" t="s">
        <v>69</v>
      </c>
      <c r="NS4" s="239" t="s">
        <v>69</v>
      </c>
      <c r="NT4" s="239" t="s">
        <v>69</v>
      </c>
      <c r="NU4" s="239" t="s">
        <v>69</v>
      </c>
      <c r="NV4" s="239" t="s">
        <v>69</v>
      </c>
      <c r="NW4" s="239" t="s">
        <v>69</v>
      </c>
      <c r="NX4" s="239" t="s">
        <v>69</v>
      </c>
      <c r="NY4" s="239" t="s">
        <v>69</v>
      </c>
      <c r="NZ4" s="239"/>
      <c r="OA4" s="239"/>
      <c r="OB4" s="239"/>
      <c r="OC4" s="239"/>
      <c r="OD4" s="239"/>
      <c r="OE4" s="239"/>
      <c r="OF4" t="s">
        <v>396</v>
      </c>
      <c r="OG4" s="250" t="s">
        <v>69</v>
      </c>
      <c r="OH4" t="s">
        <v>69</v>
      </c>
      <c r="OL4" t="s">
        <v>367</v>
      </c>
      <c r="PB4" t="s">
        <v>1103</v>
      </c>
      <c r="PC4" t="s">
        <v>1104</v>
      </c>
      <c r="PD4" t="s">
        <v>1104</v>
      </c>
      <c r="PE4" t="s">
        <v>1105</v>
      </c>
      <c r="PG4" t="s">
        <v>1106</v>
      </c>
      <c r="PH4" t="s">
        <v>1107</v>
      </c>
      <c r="PI4" t="s">
        <v>1108</v>
      </c>
      <c r="PJ4" t="s">
        <v>1108</v>
      </c>
      <c r="PL4" t="s">
        <v>1109</v>
      </c>
      <c r="PU4" t="s">
        <v>1458</v>
      </c>
      <c r="PX4" t="s">
        <v>69</v>
      </c>
      <c r="PY4" t="s">
        <v>328</v>
      </c>
      <c r="PZ4" t="s">
        <v>328</v>
      </c>
      <c r="QF4" t="s">
        <v>839</v>
      </c>
      <c r="QG4" t="s">
        <v>1161</v>
      </c>
      <c r="QH4" t="s">
        <v>69</v>
      </c>
      <c r="QI4" t="s">
        <v>69</v>
      </c>
      <c r="QK4" t="s">
        <v>1469</v>
      </c>
      <c r="QL4" t="s">
        <v>1420</v>
      </c>
      <c r="QM4" t="s">
        <v>1420</v>
      </c>
      <c r="RB4" t="s">
        <v>1175</v>
      </c>
      <c r="RC4" t="s">
        <v>1184</v>
      </c>
      <c r="RD4" t="s">
        <v>1184</v>
      </c>
      <c r="RF4" t="s">
        <v>1184</v>
      </c>
      <c r="RG4" t="s">
        <v>1184</v>
      </c>
      <c r="RI4" t="s">
        <v>1184</v>
      </c>
      <c r="RJ4" t="s">
        <v>1184</v>
      </c>
      <c r="RL4" t="s">
        <v>1184</v>
      </c>
      <c r="RM4" t="s">
        <v>1184</v>
      </c>
      <c r="RN4" t="s">
        <v>1184</v>
      </c>
      <c r="RU4" t="s">
        <v>1206</v>
      </c>
      <c r="RV4" s="35" t="s">
        <v>25</v>
      </c>
      <c r="RW4" s="245">
        <v>2</v>
      </c>
      <c r="SD4" t="s">
        <v>1218</v>
      </c>
      <c r="SE4" t="s">
        <v>1218</v>
      </c>
      <c r="SF4" t="s">
        <v>383</v>
      </c>
      <c r="SG4" t="s">
        <v>383</v>
      </c>
      <c r="SH4" t="s">
        <v>1161</v>
      </c>
      <c r="SI4" t="s">
        <v>1161</v>
      </c>
      <c r="SJ4" t="s">
        <v>1161</v>
      </c>
      <c r="SK4" t="s">
        <v>1161</v>
      </c>
      <c r="SL4" t="s">
        <v>1220</v>
      </c>
      <c r="SM4" t="s">
        <v>1221</v>
      </c>
      <c r="SN4" t="s">
        <v>1221</v>
      </c>
      <c r="SO4" t="s">
        <v>1221</v>
      </c>
      <c r="SP4" t="s">
        <v>1221</v>
      </c>
      <c r="SQ4" t="s">
        <v>1221</v>
      </c>
      <c r="SR4" t="s">
        <v>1218</v>
      </c>
      <c r="SS4" t="s">
        <v>1222</v>
      </c>
      <c r="TA4" s="215" t="s">
        <v>1175</v>
      </c>
      <c r="TB4" s="207" t="str">
        <f>SS1</f>
        <v xml:space="preserve"> 38mm Double Cellular Blind Blockout Standard</v>
      </c>
      <c r="TC4" s="207" t="str">
        <f>SR1</f>
        <v xml:space="preserve"> 38mm Double Cellular Blind Translucent Standard</v>
      </c>
      <c r="TD4" s="207" t="s">
        <v>338</v>
      </c>
      <c r="TE4" s="207" t="s">
        <v>338</v>
      </c>
      <c r="TF4" s="207" t="s">
        <v>338</v>
      </c>
      <c r="TG4" s="207" t="s">
        <v>338</v>
      </c>
      <c r="TH4" s="207" t="s">
        <v>338</v>
      </c>
      <c r="TI4" s="207" t="s">
        <v>338</v>
      </c>
      <c r="TJ4" s="207" t="str">
        <f>$SS$1</f>
        <v xml:space="preserve"> 38mm Double Cellular Blind Blockout Standard</v>
      </c>
      <c r="TK4" s="207" t="str">
        <f>$WO$1</f>
        <v>Cellular Colour 2 38mm Double Cellular Blind</v>
      </c>
      <c r="TL4" s="35" t="s">
        <v>1272</v>
      </c>
      <c r="TM4" s="212" t="s">
        <v>1272</v>
      </c>
      <c r="TN4" s="35" t="s">
        <v>1256</v>
      </c>
      <c r="TO4" s="212" t="s">
        <v>1256</v>
      </c>
      <c r="TP4" s="35" t="s">
        <v>1312</v>
      </c>
      <c r="TQ4" s="212" t="s">
        <v>1312</v>
      </c>
      <c r="TR4" s="35" t="s">
        <v>1317</v>
      </c>
      <c r="TS4" s="35" t="s">
        <v>1322</v>
      </c>
      <c r="TT4" s="35" t="s">
        <v>1327</v>
      </c>
      <c r="TU4" s="212" t="s">
        <v>1322</v>
      </c>
      <c r="TV4" s="212" t="s">
        <v>1327</v>
      </c>
      <c r="TW4" s="35" t="s">
        <v>1292</v>
      </c>
      <c r="TX4" s="250" t="s">
        <v>1272</v>
      </c>
      <c r="UB4" t="s">
        <v>1131</v>
      </c>
      <c r="UC4" t="s">
        <v>1206</v>
      </c>
      <c r="UU4" s="254" t="s">
        <v>1206</v>
      </c>
      <c r="UV4" s="254" t="str">
        <f>VB1</f>
        <v>Corded Top Down Bottom Up 25mm Single</v>
      </c>
      <c r="UW4" s="254" t="str">
        <f>VM1</f>
        <v>Corded Top Down Bottom Up 38mm Single</v>
      </c>
      <c r="UX4" s="254" t="str">
        <f>VX1</f>
        <v>Corded Top Down Bottom Up 38mm Double</v>
      </c>
      <c r="UY4" t="s">
        <v>1184</v>
      </c>
      <c r="UZ4" t="s">
        <v>1186</v>
      </c>
      <c r="VB4" t="s">
        <v>1186</v>
      </c>
      <c r="VC4" t="s">
        <v>1186</v>
      </c>
      <c r="VE4" t="s">
        <v>1186</v>
      </c>
      <c r="VF4" t="s">
        <v>1186</v>
      </c>
      <c r="VH4" t="s">
        <v>1186</v>
      </c>
      <c r="VI4" t="s">
        <v>1186</v>
      </c>
      <c r="VJ4" t="s">
        <v>1186</v>
      </c>
      <c r="VK4" t="s">
        <v>1184</v>
      </c>
      <c r="VM4" t="s">
        <v>1184</v>
      </c>
      <c r="VN4" t="s">
        <v>1184</v>
      </c>
      <c r="VP4" t="s">
        <v>1184</v>
      </c>
      <c r="VQ4" t="s">
        <v>1184</v>
      </c>
      <c r="VS4" t="s">
        <v>1184</v>
      </c>
      <c r="VT4" t="s">
        <v>1184</v>
      </c>
      <c r="VU4" t="s">
        <v>1184</v>
      </c>
      <c r="WM4" s="212" t="s">
        <v>1272</v>
      </c>
      <c r="WN4" s="35" t="s">
        <v>1272</v>
      </c>
      <c r="WO4" s="250" t="s">
        <v>1272</v>
      </c>
      <c r="WY4" s="215" t="s">
        <v>1175</v>
      </c>
      <c r="WZ4" s="258" t="str">
        <f t="shared" si="0"/>
        <v>Cellular Colour 2 NA</v>
      </c>
      <c r="XA4" s="258" t="str">
        <f t="shared" si="0"/>
        <v>Cellular Colour 2 NA</v>
      </c>
      <c r="XB4" s="258" t="str">
        <f t="shared" si="1"/>
        <v>Cellular Colour 2 NA</v>
      </c>
      <c r="XC4" s="258" t="str">
        <f t="shared" si="1"/>
        <v>Cellular Colour 2 NA</v>
      </c>
      <c r="XD4" s="258" t="str">
        <f t="shared" si="1"/>
        <v>Cellular Colour 2 NA</v>
      </c>
      <c r="XE4" s="258" t="str">
        <f t="shared" si="1"/>
        <v>Cellular Colour 2 NA</v>
      </c>
      <c r="XF4" s="258" t="str">
        <f t="shared" si="1"/>
        <v>Cellular Colour 2 NA</v>
      </c>
      <c r="XG4" s="258" t="str">
        <f t="shared" si="1"/>
        <v>Cellular Colour 2 NA</v>
      </c>
      <c r="XH4" s="207" t="str">
        <f>$WO$1</f>
        <v>Cellular Colour 2 38mm Double Cellular Blind</v>
      </c>
      <c r="XI4" s="207" t="str">
        <f>$SS$1</f>
        <v xml:space="preserve"> 38mm Double Cellular Blind Blockout Standard</v>
      </c>
      <c r="XL4" t="s">
        <v>1206</v>
      </c>
      <c r="XN4" s="214" t="s">
        <v>1195</v>
      </c>
      <c r="XO4" s="214" t="s">
        <v>1195</v>
      </c>
      <c r="YB4" s="207" t="s">
        <v>1206</v>
      </c>
      <c r="YC4" s="207">
        <v>10.98</v>
      </c>
      <c r="YE4" s="207" t="s">
        <v>1206</v>
      </c>
      <c r="YF4" s="207">
        <v>7.63</v>
      </c>
      <c r="YG4" s="207" t="s">
        <v>1206</v>
      </c>
      <c r="YH4" s="207">
        <v>7.63</v>
      </c>
      <c r="YK4" t="s">
        <v>1139</v>
      </c>
      <c r="YL4" t="str">
        <f t="shared" ref="YL4:YL9" si="3">$CS$17</f>
        <v>Oval Bottom Rail 2</v>
      </c>
      <c r="YM4" t="str">
        <f t="shared" si="2"/>
        <v>Sewn In Pocket</v>
      </c>
      <c r="ZB4" t="s">
        <v>1139</v>
      </c>
      <c r="ZC4">
        <v>4</v>
      </c>
      <c r="ZD4" t="s">
        <v>412</v>
      </c>
      <c r="ZL4">
        <v>4</v>
      </c>
      <c r="ZM4" t="s">
        <v>1487</v>
      </c>
      <c r="ZO4" t="s">
        <v>1529</v>
      </c>
      <c r="ZQ4" t="s">
        <v>1524</v>
      </c>
      <c r="ZW4">
        <v>4</v>
      </c>
      <c r="ZX4">
        <v>1600</v>
      </c>
      <c r="ZY4">
        <v>5500</v>
      </c>
      <c r="AAE4" s="207" t="s">
        <v>308</v>
      </c>
      <c r="AAF4" s="207" t="str">
        <f>$AAI$23</f>
        <v>BiFoldTimberPaintedHingeNew</v>
      </c>
      <c r="AAG4" s="207" t="str">
        <f>$AAH$23</f>
        <v>BiFoldFauxwoodHingeNew</v>
      </c>
      <c r="AAH4" s="207" t="str">
        <f>$AAH$23</f>
        <v>BiFoldFauxwoodHingeNew</v>
      </c>
      <c r="AAR4" s="207" t="s">
        <v>558</v>
      </c>
      <c r="AAS4" s="207" t="s">
        <v>1862</v>
      </c>
      <c r="AAY4" s="207" t="s">
        <v>1947</v>
      </c>
      <c r="AAZ4" s="207">
        <v>2</v>
      </c>
      <c r="ABA4" t="s">
        <v>2045</v>
      </c>
    </row>
    <row r="5" spans="1:731" ht="15">
      <c r="L5" t="s">
        <v>137</v>
      </c>
      <c r="M5">
        <v>803</v>
      </c>
      <c r="N5" t="s">
        <v>6</v>
      </c>
      <c r="O5">
        <v>217051</v>
      </c>
      <c r="P5" t="s">
        <v>13</v>
      </c>
      <c r="Q5">
        <v>2295</v>
      </c>
      <c r="R5" t="s">
        <v>62</v>
      </c>
      <c r="S5" t="s">
        <v>21</v>
      </c>
      <c r="T5">
        <v>1979</v>
      </c>
      <c r="V5" s="1"/>
      <c r="W5" t="s">
        <v>215</v>
      </c>
      <c r="Y5" t="s">
        <v>373</v>
      </c>
      <c r="Z5" t="s">
        <v>243</v>
      </c>
      <c r="AA5" s="35" t="s">
        <v>451</v>
      </c>
      <c r="AB5" t="s">
        <v>1143</v>
      </c>
      <c r="AD5" t="s">
        <v>221</v>
      </c>
      <c r="AF5" t="s">
        <v>343</v>
      </c>
      <c r="AH5" t="s">
        <v>351</v>
      </c>
      <c r="AJ5" t="s">
        <v>234</v>
      </c>
      <c r="AL5" t="s">
        <v>271</v>
      </c>
      <c r="AN5" t="s">
        <v>256</v>
      </c>
      <c r="AP5" t="s">
        <v>281</v>
      </c>
      <c r="AQ5" t="s">
        <v>291</v>
      </c>
      <c r="AR5" t="s">
        <v>297</v>
      </c>
      <c r="AW5" s="36"/>
      <c r="BA5" t="s">
        <v>1797</v>
      </c>
      <c r="BB5" t="s">
        <v>1969</v>
      </c>
      <c r="BC5" s="348" t="s">
        <v>1783</v>
      </c>
      <c r="BD5" t="s">
        <v>1549</v>
      </c>
      <c r="BF5" s="348" t="s">
        <v>871</v>
      </c>
      <c r="BG5" s="348" t="s">
        <v>871</v>
      </c>
      <c r="BH5" s="348" t="s">
        <v>554</v>
      </c>
      <c r="BI5" t="s">
        <v>308</v>
      </c>
      <c r="BK5" t="s">
        <v>322</v>
      </c>
      <c r="BM5" t="s">
        <v>383</v>
      </c>
      <c r="BW5" t="s">
        <v>357</v>
      </c>
      <c r="CJ5" t="s">
        <v>396</v>
      </c>
      <c r="CN5" t="s">
        <v>357</v>
      </c>
      <c r="CO5" t="s">
        <v>357</v>
      </c>
      <c r="CS5" t="s">
        <v>336</v>
      </c>
      <c r="CU5" t="s">
        <v>383</v>
      </c>
      <c r="CW5" t="s">
        <v>357</v>
      </c>
      <c r="CX5" t="s">
        <v>357</v>
      </c>
      <c r="CY5" t="s">
        <v>357</v>
      </c>
      <c r="DA5" t="s">
        <v>425</v>
      </c>
      <c r="DB5">
        <v>2</v>
      </c>
      <c r="DG5" t="s">
        <v>391</v>
      </c>
      <c r="DI5" t="s">
        <v>550</v>
      </c>
      <c r="DJ5" t="s">
        <v>451</v>
      </c>
      <c r="DK5" t="s">
        <v>451</v>
      </c>
      <c r="DL5" t="s">
        <v>383</v>
      </c>
      <c r="DN5" s="112"/>
      <c r="DO5" s="207" t="s">
        <v>427</v>
      </c>
      <c r="DP5" s="207">
        <v>1</v>
      </c>
      <c r="DQ5" s="207">
        <f t="shared" ref="DQ5:DQ68" si="4">LEN(DO5)-LEN(SUBSTITUTE(DO5,"T",""))</f>
        <v>0</v>
      </c>
      <c r="DR5" s="195" t="s">
        <v>69</v>
      </c>
      <c r="DS5" s="195" t="s">
        <v>69</v>
      </c>
      <c r="DT5" s="195" t="s">
        <v>393</v>
      </c>
      <c r="DU5" s="195" t="s">
        <v>398</v>
      </c>
      <c r="DY5" s="195" t="s">
        <v>69</v>
      </c>
      <c r="DZ5" s="195" t="s">
        <v>69</v>
      </c>
      <c r="EG5" t="s">
        <v>69</v>
      </c>
      <c r="EJ5" t="s">
        <v>592</v>
      </c>
      <c r="EK5" t="s">
        <v>22</v>
      </c>
      <c r="EL5" t="s">
        <v>656</v>
      </c>
      <c r="EM5" s="394" t="s">
        <v>1871</v>
      </c>
      <c r="EN5" t="s">
        <v>1871</v>
      </c>
      <c r="EO5" t="s">
        <v>1871</v>
      </c>
      <c r="EU5" s="348" t="s">
        <v>1783</v>
      </c>
      <c r="EW5" t="s">
        <v>588</v>
      </c>
      <c r="EX5" t="s">
        <v>588</v>
      </c>
      <c r="FA5" s="217" t="s">
        <v>560</v>
      </c>
      <c r="FB5" s="217" t="s">
        <v>69</v>
      </c>
      <c r="FC5" t="s">
        <v>314</v>
      </c>
      <c r="FD5" t="s">
        <v>22</v>
      </c>
      <c r="FF5" s="395" t="s">
        <v>1882</v>
      </c>
      <c r="FG5" t="s">
        <v>316</v>
      </c>
      <c r="FH5" t="s">
        <v>316</v>
      </c>
      <c r="FJ5" t="s">
        <v>625</v>
      </c>
      <c r="FK5" t="s">
        <v>625</v>
      </c>
      <c r="FM5" t="s">
        <v>319</v>
      </c>
      <c r="FP5" t="s">
        <v>397</v>
      </c>
      <c r="HA5" t="s">
        <v>588</v>
      </c>
      <c r="HB5" t="s">
        <v>588</v>
      </c>
      <c r="HC5" t="s">
        <v>588</v>
      </c>
      <c r="HQ5" t="s">
        <v>588</v>
      </c>
      <c r="HX5" t="s">
        <v>753</v>
      </c>
      <c r="ID5" s="395" t="s">
        <v>383</v>
      </c>
      <c r="IL5" s="395" t="s">
        <v>383</v>
      </c>
      <c r="IN5" t="s">
        <v>411</v>
      </c>
      <c r="IR5" s="395" t="s">
        <v>383</v>
      </c>
      <c r="IS5" s="395" t="s">
        <v>383</v>
      </c>
      <c r="IW5" t="s">
        <v>332</v>
      </c>
      <c r="IX5" s="217" t="s">
        <v>1549</v>
      </c>
      <c r="IY5" t="s">
        <v>556</v>
      </c>
      <c r="JH5" t="s">
        <v>399</v>
      </c>
      <c r="JI5" t="s">
        <v>396</v>
      </c>
      <c r="JJ5" t="s">
        <v>396</v>
      </c>
      <c r="JK5" t="s">
        <v>396</v>
      </c>
      <c r="JL5" t="s">
        <v>396</v>
      </c>
      <c r="JM5" t="s">
        <v>396</v>
      </c>
      <c r="JN5" t="s">
        <v>396</v>
      </c>
      <c r="JO5" t="s">
        <v>396</v>
      </c>
      <c r="JP5" t="s">
        <v>396</v>
      </c>
      <c r="JQ5" t="s">
        <v>396</v>
      </c>
      <c r="JR5" t="s">
        <v>396</v>
      </c>
      <c r="JT5" t="s">
        <v>396</v>
      </c>
      <c r="JU5" t="s">
        <v>396</v>
      </c>
      <c r="JV5" t="s">
        <v>396</v>
      </c>
      <c r="JW5" t="s">
        <v>396</v>
      </c>
      <c r="JY5" s="250" t="s">
        <v>396</v>
      </c>
      <c r="KB5" s="395" t="s">
        <v>1918</v>
      </c>
      <c r="KC5" s="217" t="s">
        <v>1549</v>
      </c>
      <c r="KF5" t="s">
        <v>235</v>
      </c>
      <c r="KG5" t="s">
        <v>656</v>
      </c>
      <c r="KK5" t="s">
        <v>840</v>
      </c>
      <c r="KQ5" t="s">
        <v>849</v>
      </c>
      <c r="KV5" t="s">
        <v>343</v>
      </c>
      <c r="LJ5" t="s">
        <v>509</v>
      </c>
      <c r="LK5">
        <v>1</v>
      </c>
      <c r="LR5" t="s">
        <v>349</v>
      </c>
      <c r="LW5" s="198" t="s">
        <v>308</v>
      </c>
      <c r="LX5" s="194" t="s">
        <v>484</v>
      </c>
      <c r="LY5" s="194" t="s">
        <v>919</v>
      </c>
      <c r="LZ5" s="194" t="s">
        <v>470</v>
      </c>
      <c r="MA5" s="194" t="s">
        <v>492</v>
      </c>
      <c r="MB5" s="194"/>
      <c r="ME5" s="195" t="s">
        <v>306</v>
      </c>
      <c r="MF5" s="195" t="s">
        <v>998</v>
      </c>
      <c r="MK5" t="s">
        <v>309</v>
      </c>
      <c r="ML5" t="s">
        <v>69</v>
      </c>
      <c r="MN5" t="s">
        <v>981</v>
      </c>
      <c r="MX5" t="s">
        <v>425</v>
      </c>
      <c r="MY5">
        <v>2</v>
      </c>
      <c r="ND5" t="s">
        <v>1825</v>
      </c>
      <c r="NN5" t="s">
        <v>322</v>
      </c>
      <c r="NO5" s="239" t="s">
        <v>399</v>
      </c>
      <c r="NP5" s="239" t="s">
        <v>396</v>
      </c>
      <c r="NQ5" s="239" t="s">
        <v>396</v>
      </c>
      <c r="NR5" s="239" t="s">
        <v>396</v>
      </c>
      <c r="NS5" s="239" t="s">
        <v>396</v>
      </c>
      <c r="NT5" s="239" t="s">
        <v>396</v>
      </c>
      <c r="NU5" s="239" t="s">
        <v>396</v>
      </c>
      <c r="NV5" s="239" t="s">
        <v>396</v>
      </c>
      <c r="NW5" s="239" t="s">
        <v>396</v>
      </c>
      <c r="NX5" s="239" t="s">
        <v>396</v>
      </c>
      <c r="NY5" s="239" t="s">
        <v>396</v>
      </c>
      <c r="NZ5" s="239"/>
      <c r="OA5" s="239"/>
      <c r="OB5" s="239"/>
      <c r="OC5" s="239"/>
      <c r="OD5" s="239"/>
      <c r="OE5" s="239"/>
      <c r="OF5" t="s">
        <v>399</v>
      </c>
      <c r="OG5" s="250" t="s">
        <v>396</v>
      </c>
      <c r="OH5" t="s">
        <v>396</v>
      </c>
      <c r="OL5" t="s">
        <v>365</v>
      </c>
      <c r="PB5" t="s">
        <v>1106</v>
      </c>
      <c r="PC5" t="s">
        <v>1110</v>
      </c>
      <c r="PD5" t="s">
        <v>1110</v>
      </c>
      <c r="PE5" t="s">
        <v>1111</v>
      </c>
      <c r="PG5" t="s">
        <v>1112</v>
      </c>
      <c r="PH5" t="s">
        <v>1113</v>
      </c>
      <c r="PI5" t="s">
        <v>1114</v>
      </c>
      <c r="PJ5" t="s">
        <v>1114</v>
      </c>
      <c r="PL5" t="s">
        <v>1114</v>
      </c>
      <c r="PU5" t="s">
        <v>1459</v>
      </c>
      <c r="QF5" t="s">
        <v>840</v>
      </c>
      <c r="QG5" t="s">
        <v>1164</v>
      </c>
      <c r="QK5" t="s">
        <v>1470</v>
      </c>
      <c r="QL5" t="s">
        <v>1421</v>
      </c>
      <c r="QM5" t="s">
        <v>1421</v>
      </c>
      <c r="RC5" t="s">
        <v>1188</v>
      </c>
      <c r="RD5" t="s">
        <v>1188</v>
      </c>
      <c r="RF5" t="s">
        <v>1188</v>
      </c>
      <c r="RG5" t="s">
        <v>1188</v>
      </c>
      <c r="RI5" t="s">
        <v>1188</v>
      </c>
      <c r="RJ5" t="s">
        <v>1188</v>
      </c>
      <c r="RL5" t="s">
        <v>1188</v>
      </c>
      <c r="RM5" t="s">
        <v>1188</v>
      </c>
      <c r="RN5" t="s">
        <v>1188</v>
      </c>
      <c r="RU5" t="s">
        <v>1200</v>
      </c>
      <c r="RV5" t="s">
        <v>1193</v>
      </c>
      <c r="SD5" t="s">
        <v>1223</v>
      </c>
      <c r="SE5" t="s">
        <v>1223</v>
      </c>
      <c r="SF5" t="s">
        <v>1219</v>
      </c>
      <c r="SG5" t="s">
        <v>1219</v>
      </c>
      <c r="SH5" t="s">
        <v>1221</v>
      </c>
      <c r="SI5" t="s">
        <v>1221</v>
      </c>
      <c r="SJ5" t="s">
        <v>1221</v>
      </c>
      <c r="SK5" t="s">
        <v>1221</v>
      </c>
      <c r="SL5" t="s">
        <v>1222</v>
      </c>
      <c r="SM5" t="s">
        <v>1224</v>
      </c>
      <c r="SN5" t="s">
        <v>1224</v>
      </c>
      <c r="SO5" t="s">
        <v>1224</v>
      </c>
      <c r="SP5" t="s">
        <v>1224</v>
      </c>
      <c r="SQ5" t="s">
        <v>1225</v>
      </c>
      <c r="SR5" t="s">
        <v>383</v>
      </c>
      <c r="TA5" s="39"/>
      <c r="TL5" s="35" t="s">
        <v>1330</v>
      </c>
      <c r="TM5" s="212" t="s">
        <v>1330</v>
      </c>
      <c r="TN5" s="35" t="s">
        <v>1257</v>
      </c>
      <c r="TO5" s="212" t="s">
        <v>1257</v>
      </c>
      <c r="TP5" s="35" t="s">
        <v>1313</v>
      </c>
      <c r="TQ5" s="212" t="s">
        <v>1313</v>
      </c>
      <c r="TR5" s="35" t="s">
        <v>1318</v>
      </c>
      <c r="TS5" s="35" t="s">
        <v>1323</v>
      </c>
      <c r="TT5" s="35" t="s">
        <v>1328</v>
      </c>
      <c r="TU5" s="212" t="s">
        <v>1323</v>
      </c>
      <c r="TV5" s="212" t="s">
        <v>1328</v>
      </c>
      <c r="TW5" s="35" t="s">
        <v>1293</v>
      </c>
      <c r="TX5" s="250" t="s">
        <v>1273</v>
      </c>
      <c r="UB5" t="s">
        <v>1132</v>
      </c>
      <c r="UC5" t="s">
        <v>1200</v>
      </c>
      <c r="UU5" s="254" t="s">
        <v>1200</v>
      </c>
      <c r="UV5" s="254" t="str">
        <f>VC1</f>
        <v>Cordless Standard 25mm Single</v>
      </c>
      <c r="UW5" s="254" t="str">
        <f>VN1</f>
        <v>Cordless Standard 38mm Single</v>
      </c>
      <c r="UX5" s="254" t="str">
        <f>VY1</f>
        <v>Cordless Standard 38mm Double</v>
      </c>
      <c r="UY5" t="s">
        <v>1188</v>
      </c>
      <c r="UZ5" t="s">
        <v>1187</v>
      </c>
      <c r="VB5" t="s">
        <v>1187</v>
      </c>
      <c r="VC5" t="s">
        <v>1187</v>
      </c>
      <c r="VE5" t="s">
        <v>1187</v>
      </c>
      <c r="VF5" t="s">
        <v>1187</v>
      </c>
      <c r="VH5" t="s">
        <v>1187</v>
      </c>
      <c r="VI5" t="s">
        <v>1187</v>
      </c>
      <c r="VJ5" t="s">
        <v>1187</v>
      </c>
      <c r="VK5" t="s">
        <v>1188</v>
      </c>
      <c r="VM5" t="s">
        <v>1188</v>
      </c>
      <c r="VN5" t="s">
        <v>1188</v>
      </c>
      <c r="VP5" t="s">
        <v>1188</v>
      </c>
      <c r="VQ5" t="s">
        <v>1188</v>
      </c>
      <c r="VS5" t="s">
        <v>1188</v>
      </c>
      <c r="VT5" t="s">
        <v>1188</v>
      </c>
      <c r="VU5" t="s">
        <v>1188</v>
      </c>
      <c r="WM5" s="212" t="s">
        <v>1330</v>
      </c>
      <c r="WN5" s="35" t="s">
        <v>1330</v>
      </c>
      <c r="WO5" s="250" t="s">
        <v>1273</v>
      </c>
      <c r="XL5" t="s">
        <v>1200</v>
      </c>
      <c r="XN5" s="214" t="s">
        <v>1196</v>
      </c>
      <c r="XO5" s="214" t="s">
        <v>1196</v>
      </c>
      <c r="YB5" s="207" t="s">
        <v>1200</v>
      </c>
      <c r="YC5" s="207">
        <v>5.2</v>
      </c>
      <c r="YE5" s="207" t="s">
        <v>1200</v>
      </c>
      <c r="YF5" s="207">
        <v>5.2</v>
      </c>
      <c r="YG5" s="207" t="s">
        <v>1200</v>
      </c>
      <c r="YH5" s="207">
        <v>5.2</v>
      </c>
      <c r="YK5" t="s">
        <v>1090</v>
      </c>
      <c r="YL5" t="str">
        <f t="shared" si="3"/>
        <v>Oval Bottom Rail 2</v>
      </c>
      <c r="YM5" t="str">
        <f t="shared" si="2"/>
        <v>Sewn In Pocket</v>
      </c>
      <c r="ZB5" t="s">
        <v>1090</v>
      </c>
      <c r="ZC5">
        <v>5</v>
      </c>
      <c r="ZD5" t="s">
        <v>336</v>
      </c>
      <c r="ZL5">
        <v>5</v>
      </c>
      <c r="ZM5" t="s">
        <v>1488</v>
      </c>
      <c r="ZW5">
        <v>5</v>
      </c>
      <c r="ZX5">
        <v>1600</v>
      </c>
      <c r="ZY5">
        <v>5500</v>
      </c>
      <c r="AAE5" s="207" t="s">
        <v>309</v>
      </c>
      <c r="AAF5" s="207" t="str">
        <f>$AAF$23</f>
        <v>TimberEcoPaintedHingeNew</v>
      </c>
      <c r="AAG5" s="207" t="str">
        <f>$AAH$23</f>
        <v>BiFoldFauxwoodHingeNew</v>
      </c>
      <c r="AAH5" s="207" t="str">
        <f>$AAH$23</f>
        <v>BiFoldFauxwoodHingeNew</v>
      </c>
      <c r="AAR5" s="207" t="s">
        <v>560</v>
      </c>
      <c r="AAS5" s="207" t="s">
        <v>1862</v>
      </c>
      <c r="AAY5" s="207" t="s">
        <v>1948</v>
      </c>
      <c r="AAZ5" s="207">
        <v>2</v>
      </c>
      <c r="ABA5" t="s">
        <v>2045</v>
      </c>
    </row>
    <row r="6" spans="1:731" ht="15">
      <c r="L6" t="s">
        <v>138</v>
      </c>
      <c r="M6">
        <v>805</v>
      </c>
      <c r="N6" t="s">
        <v>7</v>
      </c>
      <c r="O6">
        <v>217052</v>
      </c>
      <c r="P6" t="s">
        <v>14</v>
      </c>
      <c r="Q6">
        <v>2297</v>
      </c>
      <c r="R6" t="s">
        <v>64</v>
      </c>
      <c r="S6" t="s">
        <v>28</v>
      </c>
      <c r="T6">
        <v>1980</v>
      </c>
      <c r="V6" s="1"/>
      <c r="W6" t="s">
        <v>216</v>
      </c>
      <c r="Y6" t="s">
        <v>239</v>
      </c>
      <c r="Z6" t="s">
        <v>244</v>
      </c>
      <c r="AA6" s="35" t="s">
        <v>1539</v>
      </c>
      <c r="AB6" t="s">
        <v>1144</v>
      </c>
      <c r="AF6" t="s">
        <v>344</v>
      </c>
      <c r="AH6" t="s">
        <v>352</v>
      </c>
      <c r="AJ6" t="s">
        <v>235</v>
      </c>
      <c r="AL6" t="s">
        <v>275</v>
      </c>
      <c r="AN6" t="s">
        <v>257</v>
      </c>
      <c r="AP6" t="s">
        <v>282</v>
      </c>
      <c r="AQ6" t="s">
        <v>292</v>
      </c>
      <c r="AR6" t="s">
        <v>298</v>
      </c>
      <c r="AW6" s="36"/>
      <c r="BA6" t="s">
        <v>1801</v>
      </c>
      <c r="BB6" t="s">
        <v>1812</v>
      </c>
      <c r="BC6" t="s">
        <v>870</v>
      </c>
      <c r="BD6" t="s">
        <v>558</v>
      </c>
      <c r="BF6" s="348" t="s">
        <v>554</v>
      </c>
      <c r="BG6" s="348" t="s">
        <v>554</v>
      </c>
      <c r="BI6" t="s">
        <v>309</v>
      </c>
      <c r="BK6" t="s">
        <v>636</v>
      </c>
      <c r="BM6" t="s">
        <v>330</v>
      </c>
      <c r="BW6" t="s">
        <v>359</v>
      </c>
      <c r="CJ6" t="s">
        <v>397</v>
      </c>
      <c r="CN6" t="s">
        <v>359</v>
      </c>
      <c r="CS6" t="s">
        <v>328</v>
      </c>
      <c r="CX6" t="s">
        <v>359</v>
      </c>
      <c r="DI6" t="s">
        <v>551</v>
      </c>
      <c r="DJ6" t="s">
        <v>1539</v>
      </c>
      <c r="DK6" t="s">
        <v>1539</v>
      </c>
      <c r="DL6" t="s">
        <v>413</v>
      </c>
      <c r="DN6" s="112"/>
      <c r="DO6" s="207" t="s">
        <v>425</v>
      </c>
      <c r="DP6" s="207">
        <v>2</v>
      </c>
      <c r="DQ6" s="207">
        <f t="shared" si="4"/>
        <v>0</v>
      </c>
      <c r="DR6" s="195" t="s">
        <v>396</v>
      </c>
      <c r="DS6" s="195" t="s">
        <v>396</v>
      </c>
      <c r="DT6" s="195" t="s">
        <v>394</v>
      </c>
      <c r="DU6" s="195" t="s">
        <v>393</v>
      </c>
      <c r="DY6" s="195" t="s">
        <v>396</v>
      </c>
      <c r="DZ6" s="195" t="s">
        <v>396</v>
      </c>
      <c r="EG6" t="s">
        <v>396</v>
      </c>
      <c r="EJ6" t="s">
        <v>593</v>
      </c>
      <c r="EK6" t="s">
        <v>22</v>
      </c>
      <c r="EL6" t="s">
        <v>663</v>
      </c>
      <c r="EM6" s="394" t="s">
        <v>1872</v>
      </c>
      <c r="EN6" t="s">
        <v>1872</v>
      </c>
      <c r="EO6" t="s">
        <v>1872</v>
      </c>
      <c r="EU6" s="348" t="s">
        <v>1784</v>
      </c>
      <c r="FA6" s="217" t="s">
        <v>561</v>
      </c>
      <c r="FB6" s="217" t="s">
        <v>69</v>
      </c>
      <c r="FC6" t="s">
        <v>323</v>
      </c>
      <c r="FD6" t="s">
        <v>22</v>
      </c>
      <c r="FF6" t="s">
        <v>620</v>
      </c>
      <c r="FG6" t="s">
        <v>1819</v>
      </c>
      <c r="FH6" t="s">
        <v>1819</v>
      </c>
      <c r="FJ6" t="s">
        <v>360</v>
      </c>
      <c r="FK6" t="s">
        <v>360</v>
      </c>
      <c r="FP6" t="s">
        <v>668</v>
      </c>
      <c r="HX6" t="s">
        <v>754</v>
      </c>
      <c r="ID6" s="395" t="s">
        <v>330</v>
      </c>
      <c r="IL6" s="395" t="s">
        <v>330</v>
      </c>
      <c r="IR6" s="395" t="s">
        <v>330</v>
      </c>
      <c r="IS6" s="395" t="s">
        <v>330</v>
      </c>
      <c r="IW6" t="s">
        <v>328</v>
      </c>
      <c r="IX6" s="217" t="s">
        <v>558</v>
      </c>
      <c r="JP6" t="s">
        <v>399</v>
      </c>
      <c r="JQ6" t="s">
        <v>399</v>
      </c>
      <c r="JR6" t="s">
        <v>399</v>
      </c>
      <c r="JY6" s="250" t="s">
        <v>399</v>
      </c>
      <c r="KB6" s="217" t="s">
        <v>560</v>
      </c>
      <c r="KC6" s="217" t="s">
        <v>558</v>
      </c>
      <c r="KF6" t="s">
        <v>236</v>
      </c>
      <c r="KG6" t="s">
        <v>656</v>
      </c>
      <c r="KH6" t="s">
        <v>835</v>
      </c>
      <c r="KV6" t="s">
        <v>344</v>
      </c>
      <c r="LJ6" t="s">
        <v>504</v>
      </c>
      <c r="LK6">
        <v>1</v>
      </c>
      <c r="LW6" s="196" t="s">
        <v>310</v>
      </c>
      <c r="LX6" s="194" t="s">
        <v>540</v>
      </c>
      <c r="LY6" s="194" t="s">
        <v>922</v>
      </c>
      <c r="LZ6" s="194" t="s">
        <v>471</v>
      </c>
      <c r="MA6" s="194" t="s">
        <v>521</v>
      </c>
      <c r="MB6" s="194"/>
      <c r="ME6" s="195" t="s">
        <v>998</v>
      </c>
      <c r="MF6" s="195" t="s">
        <v>309</v>
      </c>
      <c r="MK6" t="s">
        <v>308</v>
      </c>
      <c r="ML6" t="s">
        <v>22</v>
      </c>
      <c r="MN6" t="s">
        <v>1502</v>
      </c>
      <c r="MX6" t="s">
        <v>427</v>
      </c>
      <c r="MY6">
        <v>1</v>
      </c>
      <c r="NN6" t="s">
        <v>636</v>
      </c>
      <c r="NO6" s="239"/>
      <c r="NP6" s="239"/>
      <c r="NQ6" s="239"/>
      <c r="NR6" s="239"/>
      <c r="NS6" s="239"/>
      <c r="NT6" s="239"/>
      <c r="NU6" s="239"/>
      <c r="NV6" s="239"/>
      <c r="NW6" s="239" t="s">
        <v>399</v>
      </c>
      <c r="NX6" s="239" t="s">
        <v>399</v>
      </c>
      <c r="NY6" s="239" t="s">
        <v>399</v>
      </c>
      <c r="NZ6" s="239"/>
      <c r="OA6" s="239"/>
      <c r="OB6" s="239"/>
      <c r="OC6" s="239"/>
      <c r="OD6" s="239"/>
      <c r="OE6" s="239"/>
      <c r="OG6" s="250" t="s">
        <v>399</v>
      </c>
      <c r="OL6" t="s">
        <v>364</v>
      </c>
      <c r="PB6" t="s">
        <v>1115</v>
      </c>
      <c r="PC6" t="s">
        <v>1111</v>
      </c>
      <c r="PD6" t="s">
        <v>1111</v>
      </c>
      <c r="PE6" t="s">
        <v>1116</v>
      </c>
      <c r="PG6" t="s">
        <v>1117</v>
      </c>
      <c r="PH6" t="s">
        <v>1118</v>
      </c>
      <c r="PI6" t="s">
        <v>1116</v>
      </c>
      <c r="PJ6" t="s">
        <v>1116</v>
      </c>
      <c r="PL6" t="s">
        <v>1119</v>
      </c>
      <c r="PU6" t="s">
        <v>1460</v>
      </c>
      <c r="QG6" t="s">
        <v>1163</v>
      </c>
      <c r="QK6" t="s">
        <v>1471</v>
      </c>
      <c r="QL6" t="s">
        <v>1422</v>
      </c>
      <c r="QM6" t="s">
        <v>1422</v>
      </c>
      <c r="RC6" t="s">
        <v>1186</v>
      </c>
      <c r="RD6" t="s">
        <v>1186</v>
      </c>
      <c r="RF6" t="s">
        <v>1186</v>
      </c>
      <c r="RG6" t="s">
        <v>1186</v>
      </c>
      <c r="RI6" t="s">
        <v>1186</v>
      </c>
      <c r="RJ6" t="s">
        <v>1186</v>
      </c>
      <c r="RL6" t="s">
        <v>1186</v>
      </c>
      <c r="RM6" t="s">
        <v>1186</v>
      </c>
      <c r="RN6" t="s">
        <v>1186</v>
      </c>
      <c r="RU6" t="s">
        <v>1211</v>
      </c>
      <c r="RV6" t="s">
        <v>1194</v>
      </c>
      <c r="SD6" t="s">
        <v>383</v>
      </c>
      <c r="SE6" t="s">
        <v>383</v>
      </c>
      <c r="SF6" t="s">
        <v>1220</v>
      </c>
      <c r="SG6" t="s">
        <v>1220</v>
      </c>
      <c r="SH6" t="s">
        <v>1226</v>
      </c>
      <c r="SI6" t="s">
        <v>1226</v>
      </c>
      <c r="SJ6" t="s">
        <v>1227</v>
      </c>
      <c r="SK6" t="s">
        <v>1227</v>
      </c>
      <c r="SL6" t="s">
        <v>1228</v>
      </c>
      <c r="SM6" t="s">
        <v>1229</v>
      </c>
      <c r="SN6" t="s">
        <v>1228</v>
      </c>
      <c r="SO6" t="s">
        <v>1229</v>
      </c>
      <c r="SP6" t="s">
        <v>1228</v>
      </c>
      <c r="SQ6" t="s">
        <v>1230</v>
      </c>
      <c r="SR6" t="s">
        <v>1220</v>
      </c>
      <c r="TA6" s="39"/>
      <c r="TL6" s="35" t="s">
        <v>1273</v>
      </c>
      <c r="TM6" s="212" t="s">
        <v>1273</v>
      </c>
      <c r="TN6" s="35" t="s">
        <v>1258</v>
      </c>
      <c r="TO6" s="212" t="s">
        <v>1258</v>
      </c>
      <c r="TP6" s="35" t="s">
        <v>1314</v>
      </c>
      <c r="TQ6" s="212" t="s">
        <v>1314</v>
      </c>
      <c r="TR6" s="35" t="s">
        <v>1319</v>
      </c>
      <c r="TS6" s="35" t="s">
        <v>1324</v>
      </c>
      <c r="TT6" s="35" t="s">
        <v>1329</v>
      </c>
      <c r="TU6" s="212" t="s">
        <v>1324</v>
      </c>
      <c r="TV6" s="212" t="s">
        <v>1329</v>
      </c>
      <c r="TW6" s="35" t="s">
        <v>1294</v>
      </c>
      <c r="TX6" s="250" t="s">
        <v>1274</v>
      </c>
      <c r="UB6" t="s">
        <v>1133</v>
      </c>
      <c r="UC6" t="s">
        <v>1211</v>
      </c>
      <c r="UU6" s="254" t="s">
        <v>1211</v>
      </c>
      <c r="UV6" s="254" t="str">
        <f>VD1</f>
        <v>Cordless Day Night 25mm Single</v>
      </c>
      <c r="UW6" s="254" t="str">
        <f>VO1</f>
        <v>Cordless Day Night 38mm Single</v>
      </c>
      <c r="UX6" s="254" t="str">
        <f>VZ1</f>
        <v>Cordless Day Night 38mm Double</v>
      </c>
      <c r="UY6" t="s">
        <v>1186</v>
      </c>
      <c r="UZ6" t="s">
        <v>1185</v>
      </c>
      <c r="VB6" t="s">
        <v>1185</v>
      </c>
      <c r="VC6" t="s">
        <v>1185</v>
      </c>
      <c r="VE6" t="s">
        <v>1185</v>
      </c>
      <c r="VF6" t="s">
        <v>1185</v>
      </c>
      <c r="VH6" t="s">
        <v>1185</v>
      </c>
      <c r="VI6" t="s">
        <v>1185</v>
      </c>
      <c r="VJ6" t="s">
        <v>1185</v>
      </c>
      <c r="VK6" t="s">
        <v>1186</v>
      </c>
      <c r="VM6" t="s">
        <v>1186</v>
      </c>
      <c r="VN6" t="s">
        <v>1186</v>
      </c>
      <c r="VP6" t="s">
        <v>1186</v>
      </c>
      <c r="VQ6" t="s">
        <v>1186</v>
      </c>
      <c r="VS6" t="s">
        <v>1186</v>
      </c>
      <c r="VT6" t="s">
        <v>1186</v>
      </c>
      <c r="VU6" t="s">
        <v>1186</v>
      </c>
      <c r="WM6" s="212" t="s">
        <v>1273</v>
      </c>
      <c r="WN6" s="35" t="s">
        <v>1273</v>
      </c>
      <c r="WO6" s="250" t="s">
        <v>1274</v>
      </c>
      <c r="XL6" t="s">
        <v>1211</v>
      </c>
      <c r="YB6" s="207" t="s">
        <v>1211</v>
      </c>
      <c r="YC6" s="207">
        <v>10.4</v>
      </c>
      <c r="YE6" s="207" t="s">
        <v>1211</v>
      </c>
      <c r="YF6" s="207">
        <v>10.4</v>
      </c>
      <c r="YG6" s="207" t="s">
        <v>1211</v>
      </c>
      <c r="YH6" s="207">
        <v>10.4</v>
      </c>
      <c r="YK6" t="s">
        <v>213</v>
      </c>
      <c r="YL6" s="35" t="str">
        <f>$CS$2</f>
        <v>Oval Bottom Rail</v>
      </c>
      <c r="YM6" t="str">
        <f t="shared" si="2"/>
        <v>Sewn In Pocket</v>
      </c>
      <c r="ZB6" t="s">
        <v>213</v>
      </c>
      <c r="ZC6">
        <v>6</v>
      </c>
      <c r="ZD6" t="s">
        <v>328</v>
      </c>
      <c r="ZL6">
        <v>6</v>
      </c>
      <c r="ZM6" t="s">
        <v>1489</v>
      </c>
      <c r="ZW6">
        <v>6</v>
      </c>
      <c r="ZX6">
        <v>1600</v>
      </c>
      <c r="ZY6">
        <v>5500</v>
      </c>
      <c r="AAE6" s="207" t="s">
        <v>310</v>
      </c>
      <c r="AAF6" s="207" t="str">
        <f>$AAD$23</f>
        <v>HingeNANew</v>
      </c>
      <c r="AAG6" s="207" t="str">
        <f>$AAD$23</f>
        <v>HingeNANew</v>
      </c>
      <c r="AAH6" s="207" t="str">
        <f>$AAD$23</f>
        <v>HingeNANew</v>
      </c>
      <c r="AAR6" s="207" t="s">
        <v>565</v>
      </c>
      <c r="AAS6" s="207" t="s">
        <v>1863</v>
      </c>
      <c r="AAY6" s="207" t="s">
        <v>1949</v>
      </c>
      <c r="AAZ6" s="207">
        <v>2</v>
      </c>
      <c r="ABA6" t="s">
        <v>2045</v>
      </c>
    </row>
    <row r="7" spans="1:731" ht="15">
      <c r="L7" t="s">
        <v>114</v>
      </c>
      <c r="M7">
        <v>807</v>
      </c>
      <c r="N7" t="s">
        <v>2</v>
      </c>
      <c r="O7">
        <v>215299</v>
      </c>
      <c r="P7" t="s">
        <v>15</v>
      </c>
      <c r="Q7">
        <v>2317</v>
      </c>
      <c r="R7" t="s">
        <v>66</v>
      </c>
      <c r="S7" t="s">
        <v>22</v>
      </c>
      <c r="T7">
        <v>1981</v>
      </c>
      <c r="V7" s="1"/>
      <c r="Y7" t="s">
        <v>240</v>
      </c>
      <c r="Z7" t="s">
        <v>245</v>
      </c>
      <c r="AA7" s="35" t="s">
        <v>449</v>
      </c>
      <c r="AB7" t="s">
        <v>1147</v>
      </c>
      <c r="AF7" t="s">
        <v>345</v>
      </c>
      <c r="AH7" t="s">
        <v>353</v>
      </c>
      <c r="AJ7" t="s">
        <v>236</v>
      </c>
      <c r="AL7" t="s">
        <v>273</v>
      </c>
      <c r="AN7" t="s">
        <v>258</v>
      </c>
      <c r="AP7" t="s">
        <v>283</v>
      </c>
      <c r="AQ7" t="s">
        <v>293</v>
      </c>
      <c r="AR7" t="s">
        <v>299</v>
      </c>
      <c r="AW7" s="36"/>
      <c r="BB7" t="s">
        <v>1813</v>
      </c>
      <c r="BC7" s="348" t="s">
        <v>1784</v>
      </c>
      <c r="BD7" t="s">
        <v>560</v>
      </c>
      <c r="BI7" t="s">
        <v>310</v>
      </c>
      <c r="BK7" t="s">
        <v>323</v>
      </c>
      <c r="BM7" t="s">
        <v>329</v>
      </c>
      <c r="CJ7" t="s">
        <v>398</v>
      </c>
      <c r="CS7" t="s">
        <v>411</v>
      </c>
      <c r="DI7" t="s">
        <v>552</v>
      </c>
      <c r="DJ7" t="s">
        <v>449</v>
      </c>
      <c r="DK7" t="s">
        <v>449</v>
      </c>
      <c r="DN7" s="112"/>
      <c r="DO7" s="207" t="s">
        <v>509</v>
      </c>
      <c r="DP7" s="207">
        <v>2</v>
      </c>
      <c r="DQ7" s="207">
        <f t="shared" si="4"/>
        <v>1</v>
      </c>
      <c r="DR7" s="195" t="s">
        <v>399</v>
      </c>
      <c r="DS7" s="195" t="s">
        <v>399</v>
      </c>
      <c r="DU7" s="195" t="s">
        <v>394</v>
      </c>
      <c r="DY7" s="195" t="s">
        <v>399</v>
      </c>
      <c r="DZ7" s="195" t="s">
        <v>399</v>
      </c>
      <c r="EG7" t="s">
        <v>399</v>
      </c>
      <c r="EJ7" t="s">
        <v>600</v>
      </c>
      <c r="EK7" t="s">
        <v>22</v>
      </c>
      <c r="EL7" t="s">
        <v>663</v>
      </c>
      <c r="EM7" t="s">
        <v>602</v>
      </c>
      <c r="EN7" t="s">
        <v>602</v>
      </c>
      <c r="EO7" t="s">
        <v>602</v>
      </c>
      <c r="FA7" s="217" t="s">
        <v>1549</v>
      </c>
      <c r="FB7" s="217" t="s">
        <v>69</v>
      </c>
      <c r="FC7" t="s">
        <v>324</v>
      </c>
      <c r="FD7" t="s">
        <v>22</v>
      </c>
      <c r="FF7" s="395" t="s">
        <v>1880</v>
      </c>
      <c r="FG7" t="s">
        <v>1818</v>
      </c>
      <c r="FH7" t="s">
        <v>1818</v>
      </c>
      <c r="FJ7" t="s">
        <v>316</v>
      </c>
      <c r="FK7" t="s">
        <v>316</v>
      </c>
      <c r="FP7" t="s">
        <v>669</v>
      </c>
      <c r="HX7" t="s">
        <v>755</v>
      </c>
      <c r="ID7" s="395" t="s">
        <v>1970</v>
      </c>
      <c r="IL7" s="395" t="s">
        <v>1970</v>
      </c>
      <c r="IR7" s="395" t="s">
        <v>1970</v>
      </c>
      <c r="IS7" s="395" t="s">
        <v>1970</v>
      </c>
      <c r="IX7" s="217" t="s">
        <v>560</v>
      </c>
      <c r="KB7" s="395" t="s">
        <v>1917</v>
      </c>
      <c r="KC7" s="395" t="s">
        <v>1918</v>
      </c>
      <c r="KF7" t="s">
        <v>83</v>
      </c>
      <c r="KG7" t="s">
        <v>655</v>
      </c>
      <c r="KH7" t="s">
        <v>836</v>
      </c>
      <c r="KV7" t="s">
        <v>345</v>
      </c>
      <c r="LJ7" t="s">
        <v>503</v>
      </c>
      <c r="LK7">
        <v>1</v>
      </c>
      <c r="LW7" s="206" t="s">
        <v>338</v>
      </c>
      <c r="LX7" s="194" t="s">
        <v>485</v>
      </c>
      <c r="LY7" s="194" t="s">
        <v>918</v>
      </c>
      <c r="LZ7" s="194" t="s">
        <v>472</v>
      </c>
      <c r="MA7" s="194" t="s">
        <v>493</v>
      </c>
      <c r="MB7" s="194"/>
      <c r="ME7" s="195" t="s">
        <v>309</v>
      </c>
      <c r="MF7" s="195" t="s">
        <v>308</v>
      </c>
      <c r="MK7" t="s">
        <v>338</v>
      </c>
      <c r="ML7" t="s">
        <v>69</v>
      </c>
      <c r="MN7" t="s">
        <v>1782</v>
      </c>
      <c r="NN7" t="s">
        <v>323</v>
      </c>
      <c r="NO7" s="36"/>
      <c r="NP7" s="36"/>
      <c r="NQ7" s="36"/>
      <c r="NR7" s="36"/>
      <c r="NS7" s="36"/>
      <c r="NT7" s="36"/>
      <c r="NU7" s="36"/>
      <c r="NV7" s="36"/>
      <c r="NW7" s="36"/>
      <c r="NX7" s="36"/>
      <c r="NY7" s="36"/>
      <c r="NZ7" s="36"/>
      <c r="OA7" s="36"/>
      <c r="OB7" s="36"/>
      <c r="OC7" s="36"/>
      <c r="OD7" s="36"/>
      <c r="OE7" s="36"/>
      <c r="OL7" t="s">
        <v>1802</v>
      </c>
      <c r="PC7" t="s">
        <v>328</v>
      </c>
      <c r="PD7" t="s">
        <v>328</v>
      </c>
      <c r="PG7" t="s">
        <v>1120</v>
      </c>
      <c r="PH7" t="s">
        <v>1121</v>
      </c>
      <c r="PL7" t="s">
        <v>1116</v>
      </c>
      <c r="PU7" t="s">
        <v>1461</v>
      </c>
      <c r="QG7" t="s">
        <v>1166</v>
      </c>
      <c r="QK7" t="s">
        <v>1472</v>
      </c>
      <c r="QL7" t="s">
        <v>1423</v>
      </c>
      <c r="QM7" t="s">
        <v>1423</v>
      </c>
      <c r="RC7" t="s">
        <v>1187</v>
      </c>
      <c r="RD7" t="s">
        <v>1187</v>
      </c>
      <c r="RF7" t="s">
        <v>1187</v>
      </c>
      <c r="RG7" t="s">
        <v>1187</v>
      </c>
      <c r="RI7" t="s">
        <v>1187</v>
      </c>
      <c r="RJ7" t="s">
        <v>1187</v>
      </c>
      <c r="RL7" t="s">
        <v>1187</v>
      </c>
      <c r="RM7" t="s">
        <v>1187</v>
      </c>
      <c r="RN7" t="s">
        <v>1187</v>
      </c>
      <c r="RU7" t="s">
        <v>1183</v>
      </c>
      <c r="RV7" s="212" t="s">
        <v>1195</v>
      </c>
      <c r="SD7" t="s">
        <v>1219</v>
      </c>
      <c r="SE7" t="s">
        <v>1219</v>
      </c>
      <c r="SF7" t="s">
        <v>1161</v>
      </c>
      <c r="SG7" t="s">
        <v>1161</v>
      </c>
      <c r="SR7" t="s">
        <v>1161</v>
      </c>
      <c r="TA7" s="39"/>
      <c r="TL7" s="35" t="s">
        <v>1331</v>
      </c>
      <c r="TM7" s="212" t="s">
        <v>1331</v>
      </c>
      <c r="TX7" s="250" t="s">
        <v>1275</v>
      </c>
      <c r="UB7" t="s">
        <v>1134</v>
      </c>
      <c r="UC7" t="s">
        <v>1183</v>
      </c>
      <c r="UU7" s="254" t="s">
        <v>1183</v>
      </c>
      <c r="UV7" s="254" t="str">
        <f>VE1</f>
        <v>Cordless Top Down Bottom Up 25mm Single</v>
      </c>
      <c r="UW7" s="254" t="str">
        <f>VP1</f>
        <v>Cordless Top Down Bottom Up 38mm Single</v>
      </c>
      <c r="UX7" s="254" t="str">
        <f>WA1</f>
        <v>Cordless Top Down Bottom Up 38mm Double</v>
      </c>
      <c r="UY7" t="s">
        <v>1187</v>
      </c>
      <c r="UZ7" t="s">
        <v>1189</v>
      </c>
      <c r="VB7" t="s">
        <v>1189</v>
      </c>
      <c r="VC7" t="s">
        <v>1189</v>
      </c>
      <c r="VE7" t="s">
        <v>1189</v>
      </c>
      <c r="VF7" t="s">
        <v>1189</v>
      </c>
      <c r="VH7" t="s">
        <v>1189</v>
      </c>
      <c r="VI7" t="s">
        <v>1189</v>
      </c>
      <c r="VJ7" t="s">
        <v>1189</v>
      </c>
      <c r="VK7" t="s">
        <v>1187</v>
      </c>
      <c r="VM7" t="s">
        <v>1187</v>
      </c>
      <c r="VN7" t="s">
        <v>1187</v>
      </c>
      <c r="VP7" t="s">
        <v>1187</v>
      </c>
      <c r="VQ7" t="s">
        <v>1187</v>
      </c>
      <c r="VS7" t="s">
        <v>1187</v>
      </c>
      <c r="VT7" t="s">
        <v>1187</v>
      </c>
      <c r="VU7" t="s">
        <v>1187</v>
      </c>
      <c r="WM7" s="212" t="s">
        <v>1331</v>
      </c>
      <c r="WN7" s="35" t="s">
        <v>1331</v>
      </c>
      <c r="WO7" s="250" t="s">
        <v>1275</v>
      </c>
      <c r="XL7" t="s">
        <v>1183</v>
      </c>
      <c r="YB7" s="207" t="s">
        <v>1183</v>
      </c>
      <c r="YC7" s="207">
        <v>5.2</v>
      </c>
      <c r="YE7" s="207" t="s">
        <v>1183</v>
      </c>
      <c r="YF7" s="207">
        <v>5.2</v>
      </c>
      <c r="YG7" s="207" t="s">
        <v>1183</v>
      </c>
      <c r="YH7" s="207">
        <v>5.2</v>
      </c>
      <c r="YK7" t="s">
        <v>214</v>
      </c>
      <c r="YL7" s="35" t="str">
        <f>$CS$2</f>
        <v>Oval Bottom Rail</v>
      </c>
      <c r="YM7" t="str">
        <f t="shared" si="2"/>
        <v>Sewn In Pocket</v>
      </c>
      <c r="ZB7" t="s">
        <v>214</v>
      </c>
      <c r="ZC7">
        <v>7</v>
      </c>
      <c r="ZD7" t="s">
        <v>411</v>
      </c>
      <c r="ZL7">
        <v>7</v>
      </c>
      <c r="ZM7" t="s">
        <v>1490</v>
      </c>
      <c r="ZW7">
        <v>7</v>
      </c>
      <c r="ZX7">
        <v>1600</v>
      </c>
      <c r="ZY7">
        <v>5500</v>
      </c>
      <c r="AAE7" s="207" t="s">
        <v>998</v>
      </c>
      <c r="AAF7" s="207" t="str">
        <f>$AAK$23</f>
        <v>PivotHingedNew</v>
      </c>
      <c r="AAG7" s="207" t="str">
        <f>AAK39</f>
        <v>PivotHingedFauxwoodNew</v>
      </c>
      <c r="AAH7" s="207" t="str">
        <f>AAK39</f>
        <v>PivotHingedFauxwoodNew</v>
      </c>
      <c r="AAR7" s="207" t="s">
        <v>872</v>
      </c>
      <c r="AAS7" s="207" t="s">
        <v>1862</v>
      </c>
      <c r="AAY7" s="207" t="s">
        <v>468</v>
      </c>
      <c r="AAZ7" s="207">
        <v>2</v>
      </c>
      <c r="ABA7" t="s">
        <v>2045</v>
      </c>
    </row>
    <row r="8" spans="1:731" ht="15">
      <c r="L8" t="s">
        <v>40</v>
      </c>
      <c r="M8">
        <v>808</v>
      </c>
      <c r="N8" t="s">
        <v>3</v>
      </c>
      <c r="O8">
        <v>215300</v>
      </c>
      <c r="P8" t="s">
        <v>9</v>
      </c>
      <c r="Q8">
        <v>2277</v>
      </c>
      <c r="R8" t="s">
        <v>68</v>
      </c>
      <c r="S8" t="s">
        <v>69</v>
      </c>
      <c r="T8">
        <v>1982</v>
      </c>
      <c r="V8" s="1"/>
      <c r="Y8" t="s">
        <v>374</v>
      </c>
      <c r="AA8" s="35" t="s">
        <v>441</v>
      </c>
      <c r="AB8" t="s">
        <v>1148</v>
      </c>
      <c r="AF8" t="s">
        <v>346</v>
      </c>
      <c r="AH8" t="s">
        <v>354</v>
      </c>
      <c r="AJ8" t="s">
        <v>83</v>
      </c>
      <c r="AN8" t="s">
        <v>259</v>
      </c>
      <c r="AP8" t="s">
        <v>284</v>
      </c>
      <c r="AQ8" s="217"/>
      <c r="AR8" t="s">
        <v>300</v>
      </c>
      <c r="AW8" s="36"/>
      <c r="BD8" t="s">
        <v>565</v>
      </c>
      <c r="BI8" s="212" t="s">
        <v>338</v>
      </c>
      <c r="BK8" t="s">
        <v>633</v>
      </c>
      <c r="BM8" t="s">
        <v>335</v>
      </c>
      <c r="CJ8" t="s">
        <v>393</v>
      </c>
      <c r="DI8" t="s">
        <v>553</v>
      </c>
      <c r="DJ8" t="s">
        <v>441</v>
      </c>
      <c r="DK8" t="s">
        <v>441</v>
      </c>
      <c r="DN8" s="112"/>
      <c r="DO8" s="207" t="s">
        <v>504</v>
      </c>
      <c r="DP8" s="207">
        <v>3</v>
      </c>
      <c r="DQ8" s="207">
        <f t="shared" si="4"/>
        <v>1</v>
      </c>
      <c r="EJ8" t="s">
        <v>594</v>
      </c>
      <c r="EK8" t="s">
        <v>22</v>
      </c>
      <c r="EL8" t="s">
        <v>657</v>
      </c>
      <c r="EM8" t="s">
        <v>1940</v>
      </c>
      <c r="EN8" t="s">
        <v>1940</v>
      </c>
      <c r="EO8" t="s">
        <v>1940</v>
      </c>
      <c r="FA8" s="217" t="s">
        <v>562</v>
      </c>
      <c r="FB8" s="217" t="s">
        <v>69</v>
      </c>
      <c r="FC8" t="s">
        <v>360</v>
      </c>
      <c r="FD8" t="s">
        <v>22</v>
      </c>
      <c r="FF8" t="s">
        <v>621</v>
      </c>
      <c r="FG8" s="407" t="s">
        <v>2036</v>
      </c>
      <c r="FH8" s="407" t="s">
        <v>2036</v>
      </c>
      <c r="FJ8" t="s">
        <v>633</v>
      </c>
      <c r="FK8" t="s">
        <v>633</v>
      </c>
      <c r="FP8" t="s">
        <v>670</v>
      </c>
      <c r="HX8" t="s">
        <v>767</v>
      </c>
      <c r="ID8" s="395" t="s">
        <v>1974</v>
      </c>
      <c r="IL8" s="395" t="s">
        <v>1974</v>
      </c>
      <c r="IR8" s="395" t="s">
        <v>1974</v>
      </c>
      <c r="IS8" s="395" t="s">
        <v>1974</v>
      </c>
      <c r="IX8" s="217" t="s">
        <v>565</v>
      </c>
      <c r="KB8" s="217" t="s">
        <v>872</v>
      </c>
      <c r="KC8" s="217" t="s">
        <v>560</v>
      </c>
      <c r="KF8" t="s">
        <v>86</v>
      </c>
      <c r="KG8" t="s">
        <v>655</v>
      </c>
      <c r="KV8" t="s">
        <v>346</v>
      </c>
      <c r="LJ8" t="s">
        <v>515</v>
      </c>
      <c r="LK8">
        <v>1</v>
      </c>
      <c r="LW8" s="195" t="s">
        <v>998</v>
      </c>
      <c r="LX8" s="194" t="s">
        <v>530</v>
      </c>
      <c r="LY8" s="194" t="s">
        <v>925</v>
      </c>
      <c r="LZ8" s="194" t="s">
        <v>473</v>
      </c>
      <c r="MA8" s="194" t="s">
        <v>495</v>
      </c>
      <c r="MB8" s="194"/>
      <c r="ME8" s="195" t="s">
        <v>308</v>
      </c>
      <c r="MK8" t="s">
        <v>998</v>
      </c>
      <c r="ML8" t="s">
        <v>22</v>
      </c>
      <c r="NN8" t="s">
        <v>633</v>
      </c>
      <c r="NO8" s="36"/>
      <c r="NP8" s="36"/>
      <c r="NQ8" s="36"/>
      <c r="NR8" s="36"/>
      <c r="NS8" s="36"/>
      <c r="NT8" s="36"/>
      <c r="NU8" s="36"/>
      <c r="NV8" s="36"/>
      <c r="NW8" s="36"/>
      <c r="NX8" s="36"/>
      <c r="NY8" s="36"/>
      <c r="NZ8" s="36"/>
      <c r="OA8" s="36"/>
      <c r="OB8" s="36"/>
      <c r="OC8" s="36"/>
      <c r="OD8" s="36"/>
      <c r="OE8" s="36"/>
      <c r="PG8" t="s">
        <v>1122</v>
      </c>
      <c r="PH8" t="s">
        <v>1123</v>
      </c>
      <c r="QG8" t="s">
        <v>1167</v>
      </c>
      <c r="QK8" t="s">
        <v>1475</v>
      </c>
      <c r="QL8" t="s">
        <v>1424</v>
      </c>
      <c r="QM8" t="s">
        <v>1424</v>
      </c>
      <c r="RC8" t="s">
        <v>1185</v>
      </c>
      <c r="RD8" t="s">
        <v>1185</v>
      </c>
      <c r="RF8" t="s">
        <v>1185</v>
      </c>
      <c r="RG8" t="s">
        <v>1185</v>
      </c>
      <c r="RI8" t="s">
        <v>1185</v>
      </c>
      <c r="RJ8" t="s">
        <v>1185</v>
      </c>
      <c r="RL8" t="s">
        <v>1185</v>
      </c>
      <c r="RM8" t="s">
        <v>1185</v>
      </c>
      <c r="RN8" t="s">
        <v>1185</v>
      </c>
      <c r="RU8" t="s">
        <v>1473</v>
      </c>
      <c r="RV8" s="212" t="s">
        <v>1196</v>
      </c>
      <c r="SD8" t="s">
        <v>1220</v>
      </c>
      <c r="SE8" t="s">
        <v>1220</v>
      </c>
      <c r="SF8" t="s">
        <v>1221</v>
      </c>
      <c r="SG8" t="s">
        <v>1221</v>
      </c>
      <c r="SR8" t="s">
        <v>1231</v>
      </c>
      <c r="TA8" s="39"/>
      <c r="TL8" s="35" t="s">
        <v>1274</v>
      </c>
      <c r="TM8" s="212" t="s">
        <v>1274</v>
      </c>
      <c r="TX8" s="250" t="s">
        <v>1276</v>
      </c>
      <c r="UB8" t="s">
        <v>1135</v>
      </c>
      <c r="UC8" t="s">
        <v>1201</v>
      </c>
      <c r="UU8" s="254" t="s">
        <v>1201</v>
      </c>
      <c r="UV8" s="254" t="str">
        <f>VF1</f>
        <v>Clutch Standard 25mm Single</v>
      </c>
      <c r="UW8" s="254" t="str">
        <f>VQ1</f>
        <v>Clutch Standard 38mm Single</v>
      </c>
      <c r="UX8" s="254" t="str">
        <f>WB1</f>
        <v>Clutch Standard 38mm Double</v>
      </c>
      <c r="UY8" t="s">
        <v>1185</v>
      </c>
      <c r="VK8" t="s">
        <v>1185</v>
      </c>
      <c r="VM8" t="s">
        <v>1185</v>
      </c>
      <c r="VN8" t="s">
        <v>1185</v>
      </c>
      <c r="VP8" t="s">
        <v>1185</v>
      </c>
      <c r="VQ8" t="s">
        <v>1185</v>
      </c>
      <c r="VS8" t="s">
        <v>1185</v>
      </c>
      <c r="VT8" t="s">
        <v>1185</v>
      </c>
      <c r="VU8" t="s">
        <v>1185</v>
      </c>
      <c r="WM8" s="212" t="s">
        <v>1274</v>
      </c>
      <c r="WN8" s="35" t="s">
        <v>1274</v>
      </c>
      <c r="WO8" s="250" t="s">
        <v>1276</v>
      </c>
      <c r="XL8" t="s">
        <v>1201</v>
      </c>
      <c r="YB8" s="207" t="s">
        <v>1201</v>
      </c>
      <c r="YC8" s="207">
        <v>9</v>
      </c>
      <c r="YE8" s="207" t="s">
        <v>1201</v>
      </c>
      <c r="YF8" s="207">
        <v>7.5</v>
      </c>
      <c r="YG8" s="207" t="s">
        <v>1201</v>
      </c>
      <c r="YH8" s="207">
        <v>7.5</v>
      </c>
      <c r="YK8" t="s">
        <v>1091</v>
      </c>
      <c r="YL8" t="str">
        <f t="shared" si="3"/>
        <v>Oval Bottom Rail 2</v>
      </c>
      <c r="YM8" t="str">
        <f t="shared" si="2"/>
        <v>Sewn In Pocket</v>
      </c>
      <c r="ZB8" t="s">
        <v>1091</v>
      </c>
      <c r="ZC8">
        <v>9</v>
      </c>
      <c r="ZL8">
        <v>9</v>
      </c>
      <c r="ZM8" t="s">
        <v>1492</v>
      </c>
      <c r="ZW8">
        <v>9</v>
      </c>
      <c r="ZX8">
        <v>1600</v>
      </c>
      <c r="ZY8">
        <v>5500</v>
      </c>
      <c r="AAE8" s="207" t="s">
        <v>338</v>
      </c>
      <c r="AAF8" s="207" t="str">
        <f>$AAD$23</f>
        <v>HingeNANew</v>
      </c>
      <c r="AAG8" s="207" t="str">
        <f>$AAD$23</f>
        <v>HingeNANew</v>
      </c>
      <c r="AAH8" s="207" t="str">
        <f>$AAD$23</f>
        <v>HingeNANew</v>
      </c>
      <c r="AAR8" s="207" t="s">
        <v>557</v>
      </c>
      <c r="AAS8" s="207" t="s">
        <v>1862</v>
      </c>
      <c r="AAY8" s="207" t="s">
        <v>469</v>
      </c>
      <c r="AAZ8" s="207">
        <v>2</v>
      </c>
      <c r="ABA8" t="s">
        <v>2045</v>
      </c>
    </row>
    <row r="9" spans="1:731" ht="15">
      <c r="L9" t="s">
        <v>115</v>
      </c>
      <c r="M9">
        <v>809</v>
      </c>
      <c r="N9" t="s">
        <v>8</v>
      </c>
      <c r="O9">
        <v>216932</v>
      </c>
      <c r="P9" t="s">
        <v>10</v>
      </c>
      <c r="Q9">
        <v>2278</v>
      </c>
      <c r="R9" t="s">
        <v>71</v>
      </c>
      <c r="S9" t="s">
        <v>29</v>
      </c>
      <c r="T9">
        <v>2165</v>
      </c>
      <c r="V9" s="1"/>
      <c r="Y9" t="s">
        <v>375</v>
      </c>
      <c r="AA9" s="35" t="s">
        <v>438</v>
      </c>
      <c r="AB9" t="s">
        <v>1149</v>
      </c>
      <c r="AF9" t="s">
        <v>347</v>
      </c>
      <c r="AJ9" t="s">
        <v>86</v>
      </c>
      <c r="AN9" t="s">
        <v>260</v>
      </c>
      <c r="AP9" t="s">
        <v>285</v>
      </c>
      <c r="AR9" t="s">
        <v>301</v>
      </c>
      <c r="AW9" s="36"/>
      <c r="BD9" t="s">
        <v>872</v>
      </c>
      <c r="BI9" t="s">
        <v>998</v>
      </c>
      <c r="BK9" t="s">
        <v>360</v>
      </c>
      <c r="BM9" t="s">
        <v>331</v>
      </c>
      <c r="CJ9" t="s">
        <v>394</v>
      </c>
      <c r="CX9" s="39" t="s">
        <v>608</v>
      </c>
      <c r="CY9" s="39" t="s">
        <v>609</v>
      </c>
      <c r="CZ9" s="39" t="s">
        <v>318</v>
      </c>
      <c r="DA9" s="39" t="s">
        <v>588</v>
      </c>
      <c r="DJ9" t="s">
        <v>438</v>
      </c>
      <c r="DK9" t="s">
        <v>438</v>
      </c>
      <c r="DN9" s="112"/>
      <c r="DO9" s="207" t="s">
        <v>503</v>
      </c>
      <c r="DP9" s="207">
        <v>3</v>
      </c>
      <c r="DQ9" s="207">
        <f t="shared" si="4"/>
        <v>1</v>
      </c>
      <c r="EJ9" t="s">
        <v>595</v>
      </c>
      <c r="EK9" t="s">
        <v>22</v>
      </c>
      <c r="EL9" t="s">
        <v>663</v>
      </c>
      <c r="EM9" s="394" t="s">
        <v>1873</v>
      </c>
      <c r="EN9" t="s">
        <v>1873</v>
      </c>
      <c r="EO9" t="s">
        <v>1873</v>
      </c>
      <c r="FA9" s="217" t="s">
        <v>563</v>
      </c>
      <c r="FB9" s="217" t="s">
        <v>69</v>
      </c>
      <c r="FC9" t="s">
        <v>325</v>
      </c>
      <c r="FD9" t="s">
        <v>22</v>
      </c>
      <c r="FF9" s="395" t="s">
        <v>1883</v>
      </c>
      <c r="FG9" t="s">
        <v>312</v>
      </c>
      <c r="FH9" t="s">
        <v>312</v>
      </c>
      <c r="FJ9" t="s">
        <v>323</v>
      </c>
      <c r="FK9" t="s">
        <v>323</v>
      </c>
      <c r="FP9" t="s">
        <v>671</v>
      </c>
      <c r="HX9" t="s">
        <v>397</v>
      </c>
      <c r="HZ9" t="s">
        <v>1912</v>
      </c>
      <c r="IA9" t="s">
        <v>1913</v>
      </c>
      <c r="ID9" s="395" t="s">
        <v>1975</v>
      </c>
      <c r="IL9" s="395" t="s">
        <v>1975</v>
      </c>
      <c r="IR9" s="395" t="s">
        <v>1975</v>
      </c>
      <c r="IS9" s="395" t="s">
        <v>1975</v>
      </c>
      <c r="IX9" s="217" t="s">
        <v>557</v>
      </c>
      <c r="KB9" s="395" t="s">
        <v>1919</v>
      </c>
      <c r="KC9" s="395" t="s">
        <v>1917</v>
      </c>
      <c r="KF9" t="s">
        <v>89</v>
      </c>
      <c r="KG9" t="s">
        <v>655</v>
      </c>
      <c r="KV9" t="s">
        <v>347</v>
      </c>
      <c r="LJ9" t="s">
        <v>516</v>
      </c>
      <c r="LK9">
        <v>1</v>
      </c>
      <c r="LX9" s="194" t="s">
        <v>885</v>
      </c>
      <c r="LY9" s="194" t="s">
        <v>928</v>
      </c>
      <c r="LZ9" s="194" t="s">
        <v>474</v>
      </c>
      <c r="MA9" s="194" t="s">
        <v>497</v>
      </c>
      <c r="MB9" s="194"/>
      <c r="NN9" t="s">
        <v>360</v>
      </c>
      <c r="NO9" s="36"/>
      <c r="NP9" s="36"/>
      <c r="NQ9" s="36"/>
      <c r="NR9" s="36"/>
      <c r="NS9" s="36"/>
      <c r="NT9" s="36"/>
      <c r="NU9" s="36"/>
      <c r="NV9" s="36"/>
      <c r="NW9" s="36"/>
      <c r="NX9" s="36"/>
      <c r="NY9" s="36"/>
      <c r="NZ9" s="36"/>
      <c r="OA9" s="36"/>
      <c r="OB9" s="36"/>
      <c r="OC9" s="36"/>
      <c r="OD9" s="36"/>
      <c r="OE9" s="36"/>
      <c r="PG9" t="s">
        <v>1124</v>
      </c>
      <c r="PH9" t="s">
        <v>1125</v>
      </c>
      <c r="QG9" t="s">
        <v>1165</v>
      </c>
      <c r="QK9" t="s">
        <v>1476</v>
      </c>
      <c r="RC9" t="s">
        <v>1189</v>
      </c>
      <c r="RD9" t="s">
        <v>1189</v>
      </c>
      <c r="RF9" t="s">
        <v>1189</v>
      </c>
      <c r="RG9" t="s">
        <v>1189</v>
      </c>
      <c r="RI9" t="s">
        <v>1189</v>
      </c>
      <c r="RJ9" t="s">
        <v>1189</v>
      </c>
      <c r="RL9" t="s">
        <v>1189</v>
      </c>
      <c r="RM9" t="s">
        <v>1189</v>
      </c>
      <c r="RN9" t="s">
        <v>1189</v>
      </c>
      <c r="RU9" t="s">
        <v>1201</v>
      </c>
      <c r="SD9" t="s">
        <v>1161</v>
      </c>
      <c r="SE9" t="s">
        <v>1161</v>
      </c>
      <c r="SF9" t="s">
        <v>1232</v>
      </c>
      <c r="SG9" t="s">
        <v>1232</v>
      </c>
      <c r="SR9" t="s">
        <v>1233</v>
      </c>
      <c r="TA9" s="39"/>
      <c r="TJ9" s="215" t="s">
        <v>1214</v>
      </c>
      <c r="TL9" s="35" t="s">
        <v>1275</v>
      </c>
      <c r="TM9" s="212" t="s">
        <v>1275</v>
      </c>
      <c r="TX9" s="250" t="s">
        <v>1277</v>
      </c>
      <c r="UB9" t="s">
        <v>1136</v>
      </c>
      <c r="UC9" t="s">
        <v>1213</v>
      </c>
      <c r="UU9" s="254" t="s">
        <v>1213</v>
      </c>
      <c r="UV9" s="254" t="str">
        <f>VG1</f>
        <v>Clutch Day Night 25mm Single</v>
      </c>
      <c r="UW9" s="254" t="str">
        <f>VR1</f>
        <v>Clutch Day Night 38mm Single</v>
      </c>
      <c r="UX9" s="254" t="str">
        <f>WC1</f>
        <v>Clutch Day Night 38mm Double</v>
      </c>
      <c r="UY9" t="s">
        <v>1189</v>
      </c>
      <c r="VK9" t="s">
        <v>1189</v>
      </c>
      <c r="VM9" t="s">
        <v>1189</v>
      </c>
      <c r="VN9" t="s">
        <v>1189</v>
      </c>
      <c r="VP9" t="s">
        <v>1189</v>
      </c>
      <c r="VQ9" t="s">
        <v>1189</v>
      </c>
      <c r="VS9" t="s">
        <v>1189</v>
      </c>
      <c r="VT9" t="s">
        <v>1189</v>
      </c>
      <c r="VU9" t="s">
        <v>1189</v>
      </c>
      <c r="WM9" s="212" t="s">
        <v>1275</v>
      </c>
      <c r="WN9" s="35" t="s">
        <v>1275</v>
      </c>
      <c r="WO9" s="250" t="s">
        <v>1277</v>
      </c>
      <c r="XL9" t="s">
        <v>1213</v>
      </c>
      <c r="YB9" s="207" t="s">
        <v>1213</v>
      </c>
      <c r="YC9" s="214">
        <v>12.6</v>
      </c>
      <c r="YE9" s="207" t="s">
        <v>1213</v>
      </c>
      <c r="YF9" s="214">
        <v>10.5</v>
      </c>
      <c r="YG9" s="207" t="s">
        <v>1213</v>
      </c>
      <c r="YH9" s="214">
        <v>10.5</v>
      </c>
      <c r="YK9" t="s">
        <v>1160</v>
      </c>
      <c r="YL9" t="str">
        <f t="shared" si="3"/>
        <v>Oval Bottom Rail 2</v>
      </c>
      <c r="YM9" t="str">
        <f t="shared" si="2"/>
        <v>Sewn In Pocket</v>
      </c>
      <c r="ZB9" t="s">
        <v>1092</v>
      </c>
      <c r="ZW9">
        <v>9</v>
      </c>
      <c r="ZX9">
        <v>1600</v>
      </c>
      <c r="ZY9">
        <v>5500</v>
      </c>
      <c r="AAR9" s="207" t="s">
        <v>564</v>
      </c>
      <c r="AAS9" s="207" t="s">
        <v>1863</v>
      </c>
      <c r="AAY9" s="207" t="s">
        <v>1950</v>
      </c>
      <c r="AAZ9" s="207">
        <v>3</v>
      </c>
      <c r="ABA9" s="370" t="s">
        <v>2046</v>
      </c>
    </row>
    <row r="10" spans="1:731" ht="15">
      <c r="L10" t="s">
        <v>116</v>
      </c>
      <c r="M10">
        <v>814</v>
      </c>
      <c r="N10" t="s">
        <v>4</v>
      </c>
      <c r="O10">
        <v>216977</v>
      </c>
      <c r="P10" t="s">
        <v>11</v>
      </c>
      <c r="Q10">
        <v>2280</v>
      </c>
      <c r="R10" t="s">
        <v>73</v>
      </c>
      <c r="S10" t="s">
        <v>23</v>
      </c>
      <c r="T10">
        <v>2166</v>
      </c>
      <c r="V10" s="1"/>
      <c r="AA10" s="35" t="s">
        <v>448</v>
      </c>
      <c r="AB10" t="s">
        <v>1145</v>
      </c>
      <c r="AF10" t="s">
        <v>348</v>
      </c>
      <c r="AJ10" t="s">
        <v>89</v>
      </c>
      <c r="AN10" t="s">
        <v>261</v>
      </c>
      <c r="AP10" t="s">
        <v>286</v>
      </c>
      <c r="AR10" t="s">
        <v>302</v>
      </c>
      <c r="AW10" s="36"/>
      <c r="BB10" t="s">
        <v>883</v>
      </c>
      <c r="BC10" t="s">
        <v>2006</v>
      </c>
      <c r="BD10" t="s">
        <v>557</v>
      </c>
      <c r="BK10" t="s">
        <v>625</v>
      </c>
      <c r="BM10" t="s">
        <v>333</v>
      </c>
      <c r="CJ10" t="s">
        <v>399</v>
      </c>
      <c r="CW10" s="290" t="s">
        <v>1546</v>
      </c>
      <c r="CX10" s="217" t="str">
        <f>CX2</f>
        <v>TimberRP</v>
      </c>
      <c r="CY10" s="217" t="str">
        <f>CX2</f>
        <v>TimberRP</v>
      </c>
      <c r="CZ10" s="217" t="str">
        <f>CZ2</f>
        <v>FauxwoodLiteTiltrod</v>
      </c>
      <c r="DA10" s="217" t="str">
        <f>CY2</f>
        <v>FauxwoodRPNo</v>
      </c>
      <c r="DJ10" t="s">
        <v>448</v>
      </c>
      <c r="DK10" t="s">
        <v>448</v>
      </c>
      <c r="DN10" s="112"/>
      <c r="DO10" s="207" t="s">
        <v>515</v>
      </c>
      <c r="DP10" s="207">
        <v>3</v>
      </c>
      <c r="DQ10" s="207">
        <f t="shared" si="4"/>
        <v>1</v>
      </c>
      <c r="EJ10" t="s">
        <v>596</v>
      </c>
      <c r="EK10" t="s">
        <v>22</v>
      </c>
      <c r="EL10" t="s">
        <v>663</v>
      </c>
      <c r="EM10" s="394" t="s">
        <v>1879</v>
      </c>
      <c r="EN10" t="s">
        <v>1879</v>
      </c>
      <c r="EO10" t="s">
        <v>1879</v>
      </c>
      <c r="FA10" s="217" t="s">
        <v>564</v>
      </c>
      <c r="FB10" s="217" t="s">
        <v>69</v>
      </c>
      <c r="FC10" t="s">
        <v>326</v>
      </c>
      <c r="FD10" t="s">
        <v>22</v>
      </c>
      <c r="FF10" t="s">
        <v>1082</v>
      </c>
      <c r="FG10" t="s">
        <v>636</v>
      </c>
      <c r="FH10" t="s">
        <v>636</v>
      </c>
      <c r="FJ10" t="s">
        <v>312</v>
      </c>
      <c r="FK10" t="s">
        <v>312</v>
      </c>
      <c r="FP10" t="s">
        <v>672</v>
      </c>
      <c r="HX10" t="s">
        <v>669</v>
      </c>
      <c r="HZ10" t="s">
        <v>26</v>
      </c>
      <c r="IA10" t="s">
        <v>26</v>
      </c>
      <c r="ID10" s="395" t="s">
        <v>329</v>
      </c>
      <c r="IL10" s="395" t="s">
        <v>329</v>
      </c>
      <c r="IR10" s="395" t="s">
        <v>329</v>
      </c>
      <c r="IS10" s="395" t="s">
        <v>329</v>
      </c>
      <c r="IX10" s="217" t="s">
        <v>564</v>
      </c>
      <c r="KB10" s="217" t="s">
        <v>557</v>
      </c>
      <c r="KC10" s="217" t="s">
        <v>565</v>
      </c>
      <c r="KV10" t="s">
        <v>348</v>
      </c>
      <c r="LJ10" t="s">
        <v>517</v>
      </c>
      <c r="LK10">
        <v>1</v>
      </c>
      <c r="LX10" s="194" t="s">
        <v>886</v>
      </c>
      <c r="LY10" s="194" t="s">
        <v>924</v>
      </c>
      <c r="LZ10" s="194" t="s">
        <v>475</v>
      </c>
      <c r="MA10" s="194" t="s">
        <v>498</v>
      </c>
      <c r="MB10" s="194"/>
      <c r="NN10" t="s">
        <v>625</v>
      </c>
      <c r="NO10" s="36"/>
      <c r="NP10" s="36"/>
      <c r="NQ10" s="36"/>
      <c r="NR10" s="36"/>
      <c r="NS10" s="36"/>
      <c r="NT10" s="36"/>
      <c r="NU10" s="36"/>
      <c r="NV10" s="36"/>
      <c r="NW10" s="36"/>
      <c r="NX10" s="36"/>
      <c r="NY10" s="36"/>
      <c r="NZ10" s="36"/>
      <c r="OA10" s="36"/>
      <c r="OB10" s="36"/>
      <c r="OC10" s="36"/>
      <c r="OD10" s="36"/>
      <c r="OE10" s="36"/>
      <c r="PG10" t="s">
        <v>1126</v>
      </c>
      <c r="QK10" t="s">
        <v>1504</v>
      </c>
      <c r="QL10" t="s">
        <v>1418</v>
      </c>
      <c r="RC10" t="s">
        <v>1214</v>
      </c>
      <c r="RU10" t="s">
        <v>1213</v>
      </c>
      <c r="SD10" t="s">
        <v>1231</v>
      </c>
      <c r="SE10" t="s">
        <v>1231</v>
      </c>
      <c r="SF10" t="s">
        <v>1233</v>
      </c>
      <c r="SG10" t="s">
        <v>1233</v>
      </c>
      <c r="SR10" t="s">
        <v>1234</v>
      </c>
      <c r="TA10" s="39"/>
      <c r="TI10" s="215" t="s">
        <v>1173</v>
      </c>
      <c r="TJ10" s="207" t="str">
        <f>$WM$1</f>
        <v>Cellular Colour 2 25mm Single Cellular Blind</v>
      </c>
      <c r="TL10" s="35" t="s">
        <v>1276</v>
      </c>
      <c r="TM10" s="212" t="s">
        <v>1276</v>
      </c>
      <c r="TX10" s="250" t="s">
        <v>1278</v>
      </c>
      <c r="UB10" t="s">
        <v>1137</v>
      </c>
      <c r="UC10" t="s">
        <v>1181</v>
      </c>
      <c r="UU10" s="254" t="s">
        <v>1181</v>
      </c>
      <c r="UV10" s="254" t="str">
        <f>VH1</f>
        <v>Clutch Top Down Bottom Up 25mm Single</v>
      </c>
      <c r="UW10" s="254" t="str">
        <f>VS1</f>
        <v>Clutch Top Down Bottom Up 38mm Single</v>
      </c>
      <c r="UX10" s="254" t="str">
        <f>WD1</f>
        <v>Clutch Top Down Bottom Up 38mm Double</v>
      </c>
      <c r="WM10" s="212" t="s">
        <v>1276</v>
      </c>
      <c r="WN10" s="35" t="s">
        <v>1276</v>
      </c>
      <c r="WO10" s="250" t="s">
        <v>1278</v>
      </c>
      <c r="XL10" t="s">
        <v>1181</v>
      </c>
      <c r="YB10" s="207" t="s">
        <v>1181</v>
      </c>
      <c r="YC10" s="214">
        <v>7.2</v>
      </c>
      <c r="YE10" s="207" t="s">
        <v>1181</v>
      </c>
      <c r="YF10" s="214">
        <v>6.08</v>
      </c>
      <c r="YG10" s="207" t="s">
        <v>1181</v>
      </c>
      <c r="YH10" s="214">
        <v>6.08</v>
      </c>
      <c r="YK10" t="s">
        <v>215</v>
      </c>
      <c r="YL10" s="35" t="str">
        <f>$CS$2</f>
        <v>Oval Bottom Rail</v>
      </c>
      <c r="YM10" t="str">
        <f t="shared" si="2"/>
        <v>Sewn In Pocket</v>
      </c>
      <c r="ZB10" t="s">
        <v>1129</v>
      </c>
      <c r="AAR10" s="207" t="s">
        <v>1917</v>
      </c>
      <c r="AAS10" s="207" t="s">
        <v>1862</v>
      </c>
      <c r="AAY10" s="207" t="s">
        <v>1951</v>
      </c>
      <c r="AAZ10" s="207">
        <v>3</v>
      </c>
      <c r="ABA10" s="370" t="s">
        <v>2046</v>
      </c>
    </row>
    <row r="11" spans="1:731" ht="15">
      <c r="L11" t="s">
        <v>117</v>
      </c>
      <c r="M11">
        <v>816</v>
      </c>
      <c r="N11" t="s">
        <v>5</v>
      </c>
      <c r="O11">
        <v>216978</v>
      </c>
      <c r="P11" t="s">
        <v>12</v>
      </c>
      <c r="Q11">
        <v>2281</v>
      </c>
      <c r="R11" t="s">
        <v>75</v>
      </c>
      <c r="S11" t="s">
        <v>24</v>
      </c>
      <c r="T11">
        <v>2177</v>
      </c>
      <c r="V11" s="1"/>
      <c r="AA11" s="35" t="s">
        <v>437</v>
      </c>
      <c r="AB11" t="s">
        <v>1146</v>
      </c>
      <c r="AF11" t="s">
        <v>349</v>
      </c>
      <c r="AN11" t="s">
        <v>262</v>
      </c>
      <c r="AP11" s="217"/>
      <c r="AR11" t="s">
        <v>303</v>
      </c>
      <c r="AW11" s="36"/>
      <c r="BC11" t="s">
        <v>1546</v>
      </c>
      <c r="BD11" t="s">
        <v>564</v>
      </c>
      <c r="BK11" t="s">
        <v>326</v>
      </c>
      <c r="BM11" t="s">
        <v>332</v>
      </c>
      <c r="CW11" s="39" t="s">
        <v>869</v>
      </c>
      <c r="CX11" t="str">
        <f>$CY$2</f>
        <v>FauxwoodRPNo</v>
      </c>
      <c r="CY11" t="str">
        <f>$CY$2</f>
        <v>FauxwoodRPNo</v>
      </c>
      <c r="CZ11" t="str">
        <f>$CY$2</f>
        <v>FauxwoodRPNo</v>
      </c>
      <c r="DA11" t="str">
        <f>$CY$2</f>
        <v>FauxwoodRPNo</v>
      </c>
      <c r="DJ11" t="s">
        <v>437</v>
      </c>
      <c r="DK11" t="s">
        <v>437</v>
      </c>
      <c r="DN11" s="112"/>
      <c r="DO11" s="207" t="s">
        <v>516</v>
      </c>
      <c r="DP11" s="207">
        <v>3</v>
      </c>
      <c r="DQ11" s="207">
        <f t="shared" si="4"/>
        <v>1</v>
      </c>
      <c r="EJ11" t="s">
        <v>1809</v>
      </c>
      <c r="EK11" t="s">
        <v>22</v>
      </c>
      <c r="EL11" t="s">
        <v>663</v>
      </c>
      <c r="EM11" s="394" t="s">
        <v>1874</v>
      </c>
      <c r="EN11" t="s">
        <v>1874</v>
      </c>
      <c r="EO11" t="s">
        <v>1874</v>
      </c>
      <c r="FA11" s="217" t="s">
        <v>565</v>
      </c>
      <c r="FB11" s="217" t="s">
        <v>69</v>
      </c>
      <c r="FC11" t="s">
        <v>316</v>
      </c>
      <c r="FD11" t="s">
        <v>22</v>
      </c>
      <c r="FF11" s="395" t="s">
        <v>1884</v>
      </c>
      <c r="FG11" t="s">
        <v>322</v>
      </c>
      <c r="FH11" t="s">
        <v>322</v>
      </c>
      <c r="FJ11" t="s">
        <v>636</v>
      </c>
      <c r="FK11" t="s">
        <v>636</v>
      </c>
      <c r="FP11" t="s">
        <v>673</v>
      </c>
      <c r="HX11" t="s">
        <v>670</v>
      </c>
      <c r="ID11" s="395" t="s">
        <v>1976</v>
      </c>
      <c r="IL11" s="395" t="s">
        <v>1976</v>
      </c>
      <c r="IR11" s="395" t="s">
        <v>1976</v>
      </c>
      <c r="IS11" s="395" t="s">
        <v>1976</v>
      </c>
      <c r="IX11" s="217"/>
      <c r="KB11" s="395" t="s">
        <v>1806</v>
      </c>
      <c r="KC11" s="217" t="s">
        <v>872</v>
      </c>
      <c r="KV11" t="s">
        <v>349</v>
      </c>
      <c r="LJ11" t="s">
        <v>518</v>
      </c>
      <c r="LK11">
        <v>1</v>
      </c>
      <c r="LX11" s="194" t="s">
        <v>887</v>
      </c>
      <c r="LY11" s="241" t="s">
        <v>1074</v>
      </c>
      <c r="LZ11" s="194" t="s">
        <v>526</v>
      </c>
      <c r="MA11" s="194" t="s">
        <v>522</v>
      </c>
      <c r="MB11" s="194"/>
      <c r="NN11" t="s">
        <v>326</v>
      </c>
      <c r="NO11" s="36"/>
      <c r="NP11" s="36"/>
      <c r="NQ11" s="36"/>
      <c r="NR11" s="36"/>
      <c r="NS11" s="36"/>
      <c r="NT11" s="36"/>
      <c r="NU11" s="36"/>
      <c r="NV11" s="36"/>
      <c r="NW11" s="36"/>
      <c r="NX11" s="36"/>
      <c r="NY11" s="36"/>
      <c r="NZ11" s="36"/>
      <c r="OA11" s="36"/>
      <c r="OB11" s="36"/>
      <c r="OC11" s="36"/>
      <c r="OD11" s="36"/>
      <c r="OE11" s="36"/>
      <c r="PG11" t="s">
        <v>1114</v>
      </c>
      <c r="QK11" t="s">
        <v>1505</v>
      </c>
      <c r="RU11" t="s">
        <v>1181</v>
      </c>
      <c r="SD11" t="s">
        <v>1221</v>
      </c>
      <c r="SE11" t="s">
        <v>1221</v>
      </c>
      <c r="SF11" t="s">
        <v>1222</v>
      </c>
      <c r="SG11" t="s">
        <v>1222</v>
      </c>
      <c r="SR11" t="s">
        <v>1222</v>
      </c>
      <c r="TI11" s="215" t="s">
        <v>1174</v>
      </c>
      <c r="TJ11" s="207" t="str">
        <f>$WN$1</f>
        <v>Cellular Colour 2 38mm Single Cellular Blind</v>
      </c>
      <c r="TL11" s="35" t="s">
        <v>1332</v>
      </c>
      <c r="TM11" s="212" t="s">
        <v>1332</v>
      </c>
      <c r="TX11" s="250" t="s">
        <v>1279</v>
      </c>
      <c r="UB11" t="s">
        <v>1138</v>
      </c>
      <c r="UC11" t="s">
        <v>1199</v>
      </c>
      <c r="UU11" s="254" t="s">
        <v>1199</v>
      </c>
      <c r="UV11" s="254" t="str">
        <f>VI1</f>
        <v>Motorised Battery 25mm Single</v>
      </c>
      <c r="UW11" s="254" t="str">
        <f>VT1</f>
        <v>Motorised Battery 38mm Single</v>
      </c>
      <c r="UX11" s="254" t="str">
        <f>WE1</f>
        <v>Motorised Battery 38mm Double</v>
      </c>
      <c r="WM11" s="212" t="s">
        <v>1332</v>
      </c>
      <c r="WN11" s="35" t="s">
        <v>1332</v>
      </c>
      <c r="WO11" s="250" t="s">
        <v>1279</v>
      </c>
      <c r="XL11" t="s">
        <v>1199</v>
      </c>
      <c r="YB11" s="207" t="s">
        <v>1199</v>
      </c>
      <c r="YC11" s="207">
        <v>9</v>
      </c>
      <c r="YE11" s="207" t="s">
        <v>1199</v>
      </c>
      <c r="YF11" s="207">
        <v>7.5</v>
      </c>
      <c r="YG11" s="207" t="s">
        <v>1199</v>
      </c>
      <c r="YH11" s="207">
        <v>7.5</v>
      </c>
      <c r="YK11" t="s">
        <v>1092</v>
      </c>
      <c r="YL11" t="str">
        <f t="shared" ref="YL11:YL15" si="5">$CS$17</f>
        <v>Oval Bottom Rail 2</v>
      </c>
      <c r="YM11" t="str">
        <f t="shared" si="2"/>
        <v>Sewn In Pocket</v>
      </c>
      <c r="ZB11" t="s">
        <v>1140</v>
      </c>
      <c r="AAR11" s="207" t="s">
        <v>1918</v>
      </c>
      <c r="AAS11" s="207" t="s">
        <v>1862</v>
      </c>
      <c r="AAY11" s="207" t="s">
        <v>470</v>
      </c>
      <c r="AAZ11" s="207">
        <v>3</v>
      </c>
      <c r="ABA11" s="370" t="s">
        <v>2046</v>
      </c>
    </row>
    <row r="12" spans="1:731" ht="15">
      <c r="L12" t="s">
        <v>49</v>
      </c>
      <c r="M12">
        <v>817</v>
      </c>
      <c r="N12" t="s">
        <v>6</v>
      </c>
      <c r="O12">
        <v>216979</v>
      </c>
      <c r="P12" t="s">
        <v>13</v>
      </c>
      <c r="Q12">
        <v>2294</v>
      </c>
      <c r="R12" t="s">
        <v>77</v>
      </c>
      <c r="S12" t="s">
        <v>78</v>
      </c>
      <c r="T12">
        <v>2178</v>
      </c>
      <c r="V12" s="1"/>
      <c r="AA12" s="35" t="s">
        <v>440</v>
      </c>
      <c r="AF12" t="s">
        <v>350</v>
      </c>
      <c r="AN12" t="s">
        <v>263</v>
      </c>
      <c r="AW12" s="36"/>
      <c r="BD12" t="s">
        <v>1918</v>
      </c>
      <c r="BK12" t="s">
        <v>316</v>
      </c>
      <c r="BM12" t="s">
        <v>328</v>
      </c>
      <c r="CW12" s="39" t="s">
        <v>870</v>
      </c>
      <c r="CX12" t="str">
        <f>$CZ$2</f>
        <v>FauxwoodLiteTiltrod</v>
      </c>
      <c r="CY12" t="str">
        <f t="shared" ref="CY12:DA12" si="6">$CZ$2</f>
        <v>FauxwoodLiteTiltrod</v>
      </c>
      <c r="CZ12" t="str">
        <f t="shared" si="6"/>
        <v>FauxwoodLiteTiltrod</v>
      </c>
      <c r="DA12" t="str">
        <f t="shared" si="6"/>
        <v>FauxwoodLiteTiltrod</v>
      </c>
      <c r="DJ12" t="s">
        <v>440</v>
      </c>
      <c r="DK12" t="s">
        <v>440</v>
      </c>
      <c r="DN12" s="112"/>
      <c r="DO12" s="207" t="s">
        <v>517</v>
      </c>
      <c r="DP12" s="207">
        <v>3</v>
      </c>
      <c r="DQ12" s="207">
        <f t="shared" si="4"/>
        <v>1</v>
      </c>
      <c r="EJ12" t="s">
        <v>1808</v>
      </c>
      <c r="EK12" t="s">
        <v>22</v>
      </c>
      <c r="EL12" t="s">
        <v>663</v>
      </c>
      <c r="EM12" s="394" t="s">
        <v>1875</v>
      </c>
      <c r="EN12" t="s">
        <v>1875</v>
      </c>
      <c r="EO12" t="s">
        <v>1875</v>
      </c>
      <c r="FA12" s="217" t="s">
        <v>566</v>
      </c>
      <c r="FB12" s="217" t="s">
        <v>69</v>
      </c>
      <c r="FC12" t="s">
        <v>315</v>
      </c>
      <c r="FD12" t="s">
        <v>22</v>
      </c>
      <c r="FF12" t="s">
        <v>622</v>
      </c>
      <c r="FG12" t="s">
        <v>1928</v>
      </c>
      <c r="FH12" t="s">
        <v>1928</v>
      </c>
      <c r="FJ12" t="s">
        <v>322</v>
      </c>
      <c r="FK12" t="s">
        <v>322</v>
      </c>
      <c r="FP12" t="s">
        <v>674</v>
      </c>
      <c r="GS12" s="348" t="s">
        <v>1901</v>
      </c>
      <c r="GX12" s="348" t="s">
        <v>1905</v>
      </c>
      <c r="HX12" t="s">
        <v>671</v>
      </c>
      <c r="ID12" s="395" t="s">
        <v>1099</v>
      </c>
      <c r="IL12" s="395" t="s">
        <v>1099</v>
      </c>
      <c r="IR12" s="395" t="s">
        <v>1099</v>
      </c>
      <c r="IS12" s="395" t="s">
        <v>1099</v>
      </c>
      <c r="IX12" s="217"/>
      <c r="KB12" t="s">
        <v>1970</v>
      </c>
      <c r="KC12" s="395" t="s">
        <v>1920</v>
      </c>
      <c r="KV12" t="s">
        <v>350</v>
      </c>
      <c r="LJ12" t="s">
        <v>519</v>
      </c>
      <c r="LK12">
        <v>1</v>
      </c>
      <c r="LX12" s="194" t="s">
        <v>486</v>
      </c>
      <c r="LY12" s="241" t="s">
        <v>1075</v>
      </c>
      <c r="LZ12" s="194" t="s">
        <v>476</v>
      </c>
      <c r="MA12" s="194" t="s">
        <v>511</v>
      </c>
      <c r="MB12" s="194"/>
      <c r="NN12" t="s">
        <v>316</v>
      </c>
      <c r="NO12" s="36"/>
      <c r="NP12" s="36"/>
      <c r="NQ12" s="36"/>
      <c r="NR12" s="36"/>
      <c r="NS12" s="36"/>
      <c r="NT12" s="36"/>
      <c r="NU12" s="36"/>
      <c r="NV12" s="36"/>
      <c r="NW12" s="36"/>
      <c r="NX12" s="36"/>
      <c r="NY12" s="36"/>
      <c r="NZ12" s="36"/>
      <c r="OA12" s="36"/>
      <c r="OB12" s="36"/>
      <c r="OC12" s="36"/>
      <c r="OD12" s="36"/>
      <c r="OE12" s="36"/>
      <c r="PG12" t="s">
        <v>1127</v>
      </c>
      <c r="RU12" t="s">
        <v>1199</v>
      </c>
      <c r="SD12" t="s">
        <v>1233</v>
      </c>
      <c r="SE12" t="s">
        <v>1233</v>
      </c>
      <c r="SF12" t="s">
        <v>1235</v>
      </c>
      <c r="SG12" t="s">
        <v>1235</v>
      </c>
      <c r="SR12" t="s">
        <v>1236</v>
      </c>
      <c r="TI12" s="215" t="s">
        <v>1175</v>
      </c>
      <c r="TJ12" s="207" t="str">
        <f>$WO$1</f>
        <v>Cellular Colour 2 38mm Double Cellular Blind</v>
      </c>
      <c r="TL12" s="35" t="s">
        <v>1277</v>
      </c>
      <c r="TM12" s="212" t="s">
        <v>1277</v>
      </c>
      <c r="TX12" s="250" t="s">
        <v>1280</v>
      </c>
      <c r="UC12" t="s">
        <v>1198</v>
      </c>
      <c r="UU12" s="254" t="s">
        <v>1198</v>
      </c>
      <c r="UV12" s="254" t="str">
        <f>VJ1</f>
        <v>Motorised Hardwired 25mm Single</v>
      </c>
      <c r="UW12" s="254" t="str">
        <f>VU1</f>
        <v>Motorised Hardwired 38mm Single</v>
      </c>
      <c r="UX12" s="254" t="str">
        <f>WF1</f>
        <v>Motorised Hardwired 38mm Double</v>
      </c>
      <c r="WM12" s="212" t="s">
        <v>1277</v>
      </c>
      <c r="WN12" s="35" t="s">
        <v>1277</v>
      </c>
      <c r="WO12" s="250" t="s">
        <v>1280</v>
      </c>
      <c r="XL12" t="s">
        <v>1198</v>
      </c>
      <c r="YB12" s="207" t="s">
        <v>1198</v>
      </c>
      <c r="YC12" s="207">
        <v>9</v>
      </c>
      <c r="YE12" s="207" t="s">
        <v>1198</v>
      </c>
      <c r="YF12" s="207">
        <v>7.5</v>
      </c>
      <c r="YG12" s="207" t="s">
        <v>1198</v>
      </c>
      <c r="YH12" s="207">
        <v>7.5</v>
      </c>
      <c r="YK12" t="s">
        <v>1129</v>
      </c>
      <c r="YL12" t="str">
        <f t="shared" si="5"/>
        <v>Oval Bottom Rail 2</v>
      </c>
      <c r="YM12" t="str">
        <f t="shared" si="2"/>
        <v>Sewn In Pocket</v>
      </c>
      <c r="ZB12" t="s">
        <v>216</v>
      </c>
      <c r="AAE12" s="391" t="s">
        <v>1847</v>
      </c>
      <c r="AAF12" s="207" t="s">
        <v>1546</v>
      </c>
      <c r="AAG12" s="207" t="s">
        <v>869</v>
      </c>
      <c r="AAH12" s="207" t="s">
        <v>1783</v>
      </c>
      <c r="AAJ12" s="391" t="s">
        <v>1849</v>
      </c>
      <c r="AAK12" s="207" t="s">
        <v>1546</v>
      </c>
      <c r="AAL12" s="207" t="s">
        <v>869</v>
      </c>
      <c r="AAM12" s="207" t="s">
        <v>1783</v>
      </c>
      <c r="AAR12" s="207" t="s">
        <v>1919</v>
      </c>
      <c r="AAS12" s="207" t="s">
        <v>1862</v>
      </c>
      <c r="AAY12" s="207" t="s">
        <v>471</v>
      </c>
      <c r="AAZ12" s="207">
        <v>2</v>
      </c>
      <c r="ABA12" t="s">
        <v>2045</v>
      </c>
    </row>
    <row r="13" spans="1:731" ht="15">
      <c r="L13" t="s">
        <v>118</v>
      </c>
      <c r="M13">
        <v>818</v>
      </c>
      <c r="N13" t="s">
        <v>7</v>
      </c>
      <c r="O13">
        <v>216980</v>
      </c>
      <c r="P13" t="s">
        <v>14</v>
      </c>
      <c r="Q13">
        <v>2299</v>
      </c>
      <c r="R13" t="s">
        <v>79</v>
      </c>
      <c r="S13" t="s">
        <v>80</v>
      </c>
      <c r="T13">
        <v>2179</v>
      </c>
      <c r="V13" s="1"/>
      <c r="AA13" s="35" t="s">
        <v>447</v>
      </c>
      <c r="AF13" t="s">
        <v>351</v>
      </c>
      <c r="AN13" t="s">
        <v>264</v>
      </c>
      <c r="AW13" s="36"/>
      <c r="BD13" t="s">
        <v>1917</v>
      </c>
      <c r="BK13" t="s">
        <v>315</v>
      </c>
      <c r="CW13" s="349" t="s">
        <v>1783</v>
      </c>
      <c r="CX13" t="str">
        <f>$CZ$2</f>
        <v>FauxwoodLiteTiltrod</v>
      </c>
      <c r="CY13" t="str">
        <f>$CZ$2</f>
        <v>FauxwoodLiteTiltrod</v>
      </c>
      <c r="CZ13" t="str">
        <f>$CZ$2</f>
        <v>FauxwoodLiteTiltrod</v>
      </c>
      <c r="DA13" t="str">
        <f>$CZ$2</f>
        <v>FauxwoodLiteTiltrod</v>
      </c>
      <c r="DJ13" t="s">
        <v>447</v>
      </c>
      <c r="DK13" t="s">
        <v>447</v>
      </c>
      <c r="DN13" s="112"/>
      <c r="DO13" s="207" t="s">
        <v>518</v>
      </c>
      <c r="DP13" s="207">
        <v>3</v>
      </c>
      <c r="DQ13" s="207">
        <f t="shared" si="4"/>
        <v>1</v>
      </c>
      <c r="EJ13" t="s">
        <v>597</v>
      </c>
      <c r="EK13" t="s">
        <v>22</v>
      </c>
      <c r="EL13" t="s">
        <v>657</v>
      </c>
      <c r="EM13" s="394" t="s">
        <v>1876</v>
      </c>
      <c r="EN13" t="s">
        <v>1876</v>
      </c>
      <c r="EO13" t="s">
        <v>1876</v>
      </c>
      <c r="FA13" s="217" t="s">
        <v>567</v>
      </c>
      <c r="FB13" s="217" t="s">
        <v>69</v>
      </c>
      <c r="FC13" t="s">
        <v>317</v>
      </c>
      <c r="FD13" t="s">
        <v>22</v>
      </c>
      <c r="FF13" s="395" t="s">
        <v>1885</v>
      </c>
      <c r="FG13" t="s">
        <v>326</v>
      </c>
      <c r="FH13" t="s">
        <v>326</v>
      </c>
      <c r="FJ13" t="s">
        <v>326</v>
      </c>
      <c r="FK13" t="s">
        <v>326</v>
      </c>
      <c r="FN13" t="s">
        <v>322</v>
      </c>
      <c r="FP13" t="s">
        <v>675</v>
      </c>
      <c r="FZ13" t="s">
        <v>1538</v>
      </c>
      <c r="GS13" s="348" t="s">
        <v>228</v>
      </c>
      <c r="GX13" s="348" t="s">
        <v>228</v>
      </c>
      <c r="HA13" s="35" t="s">
        <v>1807</v>
      </c>
      <c r="HX13" t="s">
        <v>672</v>
      </c>
      <c r="ID13" s="395" t="s">
        <v>1977</v>
      </c>
      <c r="IL13" s="395" t="s">
        <v>1977</v>
      </c>
      <c r="IR13" s="395" t="s">
        <v>1977</v>
      </c>
      <c r="IS13" s="395" t="s">
        <v>1977</v>
      </c>
      <c r="IX13" s="217"/>
      <c r="KB13" t="s">
        <v>1971</v>
      </c>
      <c r="KC13" s="395" t="s">
        <v>1919</v>
      </c>
      <c r="KV13" t="s">
        <v>351</v>
      </c>
      <c r="LJ13" t="s">
        <v>501</v>
      </c>
      <c r="LK13">
        <v>1</v>
      </c>
      <c r="LX13" s="194" t="s">
        <v>888</v>
      </c>
      <c r="LY13" s="194" t="s">
        <v>1034</v>
      </c>
      <c r="LZ13" s="194" t="s">
        <v>477</v>
      </c>
      <c r="MA13" s="194" t="s">
        <v>512</v>
      </c>
      <c r="MB13" s="194"/>
      <c r="NN13" t="s">
        <v>315</v>
      </c>
      <c r="NO13" s="36"/>
      <c r="NP13" s="36"/>
      <c r="NQ13" s="36"/>
      <c r="NR13" s="36"/>
      <c r="NS13" s="36"/>
      <c r="NT13" s="36"/>
      <c r="NU13" s="36"/>
      <c r="NV13" s="36"/>
      <c r="NW13" s="36"/>
      <c r="NX13" s="36"/>
      <c r="NY13" s="36"/>
      <c r="NZ13" s="36"/>
      <c r="OA13" s="36"/>
      <c r="OB13" s="36"/>
      <c r="OC13" s="36"/>
      <c r="OD13" s="36"/>
      <c r="OE13" s="36"/>
      <c r="PG13" t="s">
        <v>328</v>
      </c>
      <c r="PU13" s="207" t="s">
        <v>21</v>
      </c>
      <c r="PV13" s="207" t="str">
        <f>PW1</f>
        <v>HelperSpringControlYes</v>
      </c>
      <c r="RU13" t="s">
        <v>1198</v>
      </c>
      <c r="SD13" t="s">
        <v>1222</v>
      </c>
      <c r="SE13" t="s">
        <v>1222</v>
      </c>
      <c r="SF13" t="s">
        <v>1227</v>
      </c>
      <c r="SG13" t="s">
        <v>1227</v>
      </c>
      <c r="SR13" t="s">
        <v>1224</v>
      </c>
      <c r="TB13" s="39"/>
      <c r="TC13" s="39"/>
      <c r="TD13" s="39"/>
      <c r="TL13" s="35" t="s">
        <v>1279</v>
      </c>
      <c r="TM13" s="212" t="s">
        <v>1279</v>
      </c>
      <c r="TX13" s="250" t="s">
        <v>1281</v>
      </c>
      <c r="UC13" s="35" t="s">
        <v>1473</v>
      </c>
      <c r="UN13" t="s">
        <v>1132</v>
      </c>
      <c r="UU13" s="281" t="s">
        <v>1473</v>
      </c>
      <c r="UV13" t="str">
        <f>VC1</f>
        <v>Cordless Standard 25mm Single</v>
      </c>
      <c r="UW13" t="str">
        <f>VN1</f>
        <v>Cordless Standard 38mm Single</v>
      </c>
      <c r="UX13" t="str">
        <f>VY1</f>
        <v>Cordless Standard 38mm Double</v>
      </c>
      <c r="WM13" s="212" t="s">
        <v>1279</v>
      </c>
      <c r="WN13" s="35" t="s">
        <v>1279</v>
      </c>
      <c r="WO13" s="250" t="s">
        <v>1281</v>
      </c>
      <c r="XL13" s="35" t="s">
        <v>1473</v>
      </c>
      <c r="YB13" s="207" t="s">
        <v>1473</v>
      </c>
      <c r="YC13" s="207">
        <v>9</v>
      </c>
      <c r="YE13" s="207" t="s">
        <v>1473</v>
      </c>
      <c r="YF13" s="207">
        <v>9</v>
      </c>
      <c r="YG13" s="207" t="s">
        <v>1473</v>
      </c>
      <c r="YH13" s="207">
        <v>7.5</v>
      </c>
      <c r="YK13" t="s">
        <v>1140</v>
      </c>
      <c r="YL13" t="str">
        <f t="shared" si="5"/>
        <v>Oval Bottom Rail 2</v>
      </c>
      <c r="YM13" t="str">
        <f t="shared" si="2"/>
        <v>Sewn In Pocket</v>
      </c>
      <c r="ZB13" t="s">
        <v>1089</v>
      </c>
      <c r="AAE13" s="207" t="s">
        <v>306</v>
      </c>
      <c r="AAF13" s="207" t="str">
        <f>$AAG$23</f>
        <v>TimberEcoStainedHingeNew</v>
      </c>
      <c r="AAG13" s="207" t="str">
        <f>$AAE$23</f>
        <v>FauxwoodEcoHingeNew</v>
      </c>
      <c r="AAH13" s="207" t="str">
        <f>$AAE$23</f>
        <v>FauxwoodEcoHingeNew</v>
      </c>
      <c r="AAJ13" s="207" t="s">
        <v>313</v>
      </c>
      <c r="AAK13" s="207" t="str">
        <f>AAN23</f>
        <v>TimberStainedHangingStripHingeNew</v>
      </c>
      <c r="AAL13" s="207" t="str">
        <f>$AAL$23</f>
        <v>FauxwoodHangingStripHingeNew</v>
      </c>
      <c r="AAM13" s="207" t="str">
        <f>$AAL$23</f>
        <v>FauxwoodHangingStripHingeNew</v>
      </c>
      <c r="AAR13" s="207" t="s">
        <v>1920</v>
      </c>
      <c r="AAS13" s="207" t="s">
        <v>1863</v>
      </c>
      <c r="AAY13" s="207" t="s">
        <v>472</v>
      </c>
      <c r="AAZ13" s="207">
        <v>2</v>
      </c>
      <c r="ABA13" t="s">
        <v>2045</v>
      </c>
    </row>
    <row r="14" spans="1:731" ht="15">
      <c r="L14" t="s">
        <v>119</v>
      </c>
      <c r="M14">
        <v>823</v>
      </c>
      <c r="N14" t="s">
        <v>2</v>
      </c>
      <c r="O14">
        <v>215486</v>
      </c>
      <c r="P14" t="s">
        <v>16</v>
      </c>
      <c r="Q14">
        <v>2313</v>
      </c>
      <c r="R14" t="s">
        <v>85</v>
      </c>
      <c r="S14" t="s">
        <v>83</v>
      </c>
      <c r="T14">
        <v>2180</v>
      </c>
      <c r="V14" s="1"/>
      <c r="AA14" s="35" t="s">
        <v>1540</v>
      </c>
      <c r="AB14" s="189" t="s">
        <v>418</v>
      </c>
      <c r="AF14" t="s">
        <v>352</v>
      </c>
      <c r="AN14" t="s">
        <v>265</v>
      </c>
      <c r="AW14" s="37"/>
      <c r="BD14" t="s">
        <v>1920</v>
      </c>
      <c r="BK14" t="s">
        <v>317</v>
      </c>
      <c r="CW14" s="349" t="s">
        <v>1784</v>
      </c>
      <c r="CX14" s="348" t="str">
        <f>$CY$2</f>
        <v>FauxwoodRPNo</v>
      </c>
      <c r="CY14" s="348" t="str">
        <f>$CY$2</f>
        <v>FauxwoodRPNo</v>
      </c>
      <c r="CZ14" s="348" t="str">
        <f>$CY$2</f>
        <v>FauxwoodRPNo</v>
      </c>
      <c r="DA14" s="348" t="str">
        <f>$CY$2</f>
        <v>FauxwoodRPNo</v>
      </c>
      <c r="DJ14" t="s">
        <v>1540</v>
      </c>
      <c r="DK14" t="s">
        <v>1540</v>
      </c>
      <c r="DN14" s="112"/>
      <c r="DO14" s="207" t="s">
        <v>519</v>
      </c>
      <c r="DP14" s="207">
        <v>3</v>
      </c>
      <c r="DQ14" s="207">
        <f t="shared" si="4"/>
        <v>1</v>
      </c>
      <c r="EJ14" t="s">
        <v>598</v>
      </c>
      <c r="EK14" t="s">
        <v>22</v>
      </c>
      <c r="EL14" t="s">
        <v>657</v>
      </c>
      <c r="EM14" t="s">
        <v>724</v>
      </c>
      <c r="EN14" s="348" t="s">
        <v>724</v>
      </c>
      <c r="EO14" s="348" t="s">
        <v>724</v>
      </c>
      <c r="FA14" s="217" t="s">
        <v>568</v>
      </c>
      <c r="FB14" s="217" t="s">
        <v>69</v>
      </c>
      <c r="FC14" t="s">
        <v>318</v>
      </c>
      <c r="FD14" t="s">
        <v>22</v>
      </c>
      <c r="FF14" t="s">
        <v>623</v>
      </c>
      <c r="FN14" t="s">
        <v>314</v>
      </c>
      <c r="FP14" t="s">
        <v>676</v>
      </c>
      <c r="FZ14" t="s">
        <v>228</v>
      </c>
      <c r="HA14" s="35" t="s">
        <v>608</v>
      </c>
      <c r="HX14" t="s">
        <v>756</v>
      </c>
      <c r="ID14" s="395" t="s">
        <v>414</v>
      </c>
      <c r="IL14" s="395" t="s">
        <v>414</v>
      </c>
      <c r="IR14" s="395" t="s">
        <v>414</v>
      </c>
      <c r="IS14" s="395" t="s">
        <v>414</v>
      </c>
      <c r="IX14" s="217"/>
      <c r="KB14" t="s">
        <v>1972</v>
      </c>
      <c r="KC14" t="s">
        <v>564</v>
      </c>
      <c r="KV14" t="s">
        <v>352</v>
      </c>
      <c r="LJ14" t="s">
        <v>499</v>
      </c>
      <c r="LK14">
        <v>1</v>
      </c>
      <c r="LX14" s="194" t="s">
        <v>889</v>
      </c>
      <c r="LY14" s="241" t="s">
        <v>1076</v>
      </c>
      <c r="LZ14" s="194" t="s">
        <v>478</v>
      </c>
      <c r="MA14" s="194" t="s">
        <v>513</v>
      </c>
      <c r="MB14" s="194"/>
      <c r="MN14" t="s">
        <v>1503</v>
      </c>
      <c r="NN14" t="s">
        <v>317</v>
      </c>
      <c r="NO14" s="719" t="s">
        <v>1054</v>
      </c>
      <c r="NP14" s="719"/>
      <c r="NQ14" s="719"/>
      <c r="NR14" s="719"/>
      <c r="NS14" s="719"/>
      <c r="NT14" s="719"/>
      <c r="NU14" s="719"/>
      <c r="NV14" s="719"/>
      <c r="NW14" s="719"/>
      <c r="NX14" s="719"/>
      <c r="NY14" s="719"/>
      <c r="NZ14" s="719"/>
      <c r="OA14" s="719"/>
      <c r="OB14" s="719"/>
      <c r="OC14" s="719"/>
      <c r="OD14" s="719"/>
      <c r="OE14" s="719"/>
      <c r="PU14" s="207" t="s">
        <v>28</v>
      </c>
      <c r="PV14" s="207" t="str">
        <f>PW1</f>
        <v>HelperSpringControlYes</v>
      </c>
      <c r="SD14" t="s">
        <v>1237</v>
      </c>
      <c r="SE14" t="s">
        <v>1237</v>
      </c>
      <c r="SF14" t="s">
        <v>1238</v>
      </c>
      <c r="SG14" t="s">
        <v>1238</v>
      </c>
      <c r="SR14" t="s">
        <v>1239</v>
      </c>
      <c r="TL14" s="35" t="s">
        <v>1333</v>
      </c>
      <c r="TM14" s="212" t="s">
        <v>1333</v>
      </c>
      <c r="TX14" s="250" t="s">
        <v>1282</v>
      </c>
      <c r="UN14" t="s">
        <v>1134</v>
      </c>
      <c r="WM14" s="212" t="s">
        <v>1333</v>
      </c>
      <c r="WN14" s="35" t="s">
        <v>1333</v>
      </c>
      <c r="WO14" s="250" t="s">
        <v>1282</v>
      </c>
      <c r="YK14" t="s">
        <v>216</v>
      </c>
      <c r="YL14" s="35" t="str">
        <f>$CS$2</f>
        <v>Oval Bottom Rail</v>
      </c>
      <c r="YM14" t="str">
        <f t="shared" si="2"/>
        <v>Sewn In Pocket</v>
      </c>
      <c r="AAE14" s="207" t="s">
        <v>307</v>
      </c>
      <c r="AAF14" s="207" t="str">
        <f>$AAG$23</f>
        <v>TimberEcoStainedHingeNew</v>
      </c>
      <c r="AAG14" s="207" t="str">
        <f>$AAE$23</f>
        <v>FauxwoodEcoHingeNew</v>
      </c>
      <c r="AAH14" s="207" t="str">
        <f>$AAE$23</f>
        <v>FauxwoodEcoHingeNew</v>
      </c>
      <c r="AAR14" s="207" t="s">
        <v>1806</v>
      </c>
      <c r="AAS14" s="207" t="s">
        <v>1862</v>
      </c>
      <c r="AAY14" s="207" t="s">
        <v>1952</v>
      </c>
      <c r="AAZ14" s="207">
        <v>2</v>
      </c>
      <c r="ABA14" t="s">
        <v>2045</v>
      </c>
    </row>
    <row r="15" spans="1:731" ht="15">
      <c r="L15" t="s">
        <v>59</v>
      </c>
      <c r="M15">
        <v>824</v>
      </c>
      <c r="N15" t="s">
        <v>3</v>
      </c>
      <c r="O15">
        <v>215487</v>
      </c>
      <c r="P15" t="s">
        <v>15</v>
      </c>
      <c r="Q15">
        <v>2315</v>
      </c>
      <c r="R15" t="s">
        <v>82</v>
      </c>
      <c r="S15" t="s">
        <v>86</v>
      </c>
      <c r="T15">
        <v>2181</v>
      </c>
      <c r="V15" s="1"/>
      <c r="AA15" s="35" t="s">
        <v>439</v>
      </c>
      <c r="AB15" s="189" t="s">
        <v>417</v>
      </c>
      <c r="AF15" t="s">
        <v>353</v>
      </c>
      <c r="AN15" t="s">
        <v>832</v>
      </c>
      <c r="AP15" s="217" t="s">
        <v>957</v>
      </c>
      <c r="AQ15" s="217" t="s">
        <v>958</v>
      </c>
      <c r="AW15" s="37"/>
      <c r="BD15" t="s">
        <v>1919</v>
      </c>
      <c r="BK15" t="s">
        <v>318</v>
      </c>
      <c r="DJ15" t="s">
        <v>439</v>
      </c>
      <c r="DK15" t="s">
        <v>439</v>
      </c>
      <c r="DN15" s="112"/>
      <c r="DO15" s="207" t="s">
        <v>501</v>
      </c>
      <c r="DP15" s="207">
        <v>4</v>
      </c>
      <c r="DQ15" s="207">
        <f t="shared" si="4"/>
        <v>1</v>
      </c>
      <c r="EJ15" t="s">
        <v>599</v>
      </c>
      <c r="EK15" t="s">
        <v>22</v>
      </c>
      <c r="EL15" t="s">
        <v>663</v>
      </c>
      <c r="EM15" t="s">
        <v>605</v>
      </c>
      <c r="EN15" t="s">
        <v>605</v>
      </c>
      <c r="EO15" t="s">
        <v>605</v>
      </c>
      <c r="FA15" s="217" t="s">
        <v>556</v>
      </c>
      <c r="FB15" s="217" t="s">
        <v>615</v>
      </c>
      <c r="FC15" t="s">
        <v>582</v>
      </c>
      <c r="FD15" t="s">
        <v>22</v>
      </c>
      <c r="FF15" s="395" t="s">
        <v>1886</v>
      </c>
      <c r="FN15" t="s">
        <v>323</v>
      </c>
      <c r="FP15" t="s">
        <v>677</v>
      </c>
      <c r="FZ15" s="395" t="s">
        <v>1543</v>
      </c>
      <c r="HA15" s="35" t="s">
        <v>609</v>
      </c>
      <c r="HX15" t="s">
        <v>674</v>
      </c>
      <c r="ID15" s="395" t="s">
        <v>335</v>
      </c>
      <c r="IL15" t="s">
        <v>335</v>
      </c>
      <c r="IR15" s="395" t="s">
        <v>335</v>
      </c>
      <c r="IS15" s="395" t="s">
        <v>335</v>
      </c>
      <c r="IX15" s="217"/>
      <c r="KB15" t="s">
        <v>1973</v>
      </c>
      <c r="KC15" s="217" t="s">
        <v>557</v>
      </c>
      <c r="KD15" t="s">
        <v>556</v>
      </c>
      <c r="KV15" t="s">
        <v>353</v>
      </c>
      <c r="LJ15" t="s">
        <v>502</v>
      </c>
      <c r="LK15">
        <v>2</v>
      </c>
      <c r="LX15" s="194" t="s">
        <v>890</v>
      </c>
      <c r="LY15" s="194" t="s">
        <v>496</v>
      </c>
      <c r="LZ15" s="194" t="s">
        <v>479</v>
      </c>
      <c r="MN15" t="s">
        <v>979</v>
      </c>
      <c r="NN15" t="s">
        <v>318</v>
      </c>
      <c r="NO15" s="207" t="s">
        <v>1055</v>
      </c>
      <c r="NP15" s="207" t="s">
        <v>1056</v>
      </c>
      <c r="NQ15" s="207" t="s">
        <v>1057</v>
      </c>
      <c r="NR15" s="207" t="s">
        <v>1058</v>
      </c>
      <c r="NS15" s="207" t="s">
        <v>1059</v>
      </c>
      <c r="NT15" s="207" t="s">
        <v>1060</v>
      </c>
      <c r="NU15" s="207" t="s">
        <v>1061</v>
      </c>
      <c r="NV15" s="207" t="s">
        <v>1062</v>
      </c>
      <c r="NW15" s="207" t="s">
        <v>1063</v>
      </c>
      <c r="NX15" s="207" t="s">
        <v>1064</v>
      </c>
      <c r="NY15" s="207" t="s">
        <v>1065</v>
      </c>
      <c r="NZ15" s="207" t="s">
        <v>1066</v>
      </c>
      <c r="OA15" s="207" t="s">
        <v>1067</v>
      </c>
      <c r="OB15" s="207" t="s">
        <v>1068</v>
      </c>
      <c r="OC15" s="207" t="s">
        <v>1069</v>
      </c>
      <c r="OD15" s="207" t="s">
        <v>2048</v>
      </c>
      <c r="OE15" s="207"/>
      <c r="OG15" s="250" t="s">
        <v>1534</v>
      </c>
      <c r="OH15" t="s">
        <v>2050</v>
      </c>
      <c r="PU15" s="207" t="s">
        <v>1469</v>
      </c>
      <c r="PV15" s="207" t="str">
        <f>$PV$1</f>
        <v>HelperSpringControlNo</v>
      </c>
      <c r="SD15" t="s">
        <v>1235</v>
      </c>
      <c r="SE15" t="s">
        <v>1235</v>
      </c>
      <c r="SF15" t="s">
        <v>1224</v>
      </c>
      <c r="SG15" t="s">
        <v>1224</v>
      </c>
      <c r="SR15" t="s">
        <v>1228</v>
      </c>
      <c r="TL15" s="35" t="s">
        <v>1334</v>
      </c>
      <c r="TM15" s="212" t="s">
        <v>1334</v>
      </c>
      <c r="TX15" s="250" t="s">
        <v>1283</v>
      </c>
      <c r="UN15" t="s">
        <v>1136</v>
      </c>
      <c r="WM15" s="212" t="s">
        <v>1334</v>
      </c>
      <c r="WN15" s="35" t="s">
        <v>1334</v>
      </c>
      <c r="WO15" s="250" t="s">
        <v>1283</v>
      </c>
      <c r="YK15" t="s">
        <v>1089</v>
      </c>
      <c r="YL15" t="str">
        <f t="shared" si="5"/>
        <v>Oval Bottom Rail 2</v>
      </c>
      <c r="YM15" t="str">
        <f t="shared" si="2"/>
        <v>Sewn In Pocket</v>
      </c>
      <c r="AAE15" s="207" t="s">
        <v>308</v>
      </c>
      <c r="AAF15" s="207" t="str">
        <f>$AAJ$23</f>
        <v>BiFoldTimberStainedHingeNew</v>
      </c>
      <c r="AAG15" s="207" t="str">
        <f>$AAH$23</f>
        <v>BiFoldFauxwoodHingeNew</v>
      </c>
      <c r="AAH15" s="207" t="str">
        <f>$AAH$23</f>
        <v>BiFoldFauxwoodHingeNew</v>
      </c>
      <c r="AAR15" s="207" t="s">
        <v>556</v>
      </c>
      <c r="AAS15" s="207" t="s">
        <v>1862</v>
      </c>
      <c r="AAY15" s="207" t="s">
        <v>1953</v>
      </c>
      <c r="AAZ15" s="207">
        <v>2</v>
      </c>
      <c r="ABA15" t="s">
        <v>2045</v>
      </c>
    </row>
    <row r="16" spans="1:731" ht="15">
      <c r="L16" t="s">
        <v>61</v>
      </c>
      <c r="M16">
        <v>833</v>
      </c>
      <c r="N16" t="s">
        <v>8</v>
      </c>
      <c r="O16">
        <v>216927</v>
      </c>
      <c r="P16" t="s">
        <v>9</v>
      </c>
      <c r="Q16">
        <v>2290</v>
      </c>
      <c r="R16" t="s">
        <v>88</v>
      </c>
      <c r="S16" t="s">
        <v>89</v>
      </c>
      <c r="T16">
        <v>2182</v>
      </c>
      <c r="V16" s="1"/>
      <c r="AA16" s="35" t="s">
        <v>445</v>
      </c>
      <c r="AF16" t="s">
        <v>354</v>
      </c>
      <c r="AN16" t="s">
        <v>266</v>
      </c>
      <c r="AP16" t="s">
        <v>960</v>
      </c>
      <c r="AQ16" t="s">
        <v>959</v>
      </c>
      <c r="AW16" s="36"/>
      <c r="BD16" s="401" t="s">
        <v>1970</v>
      </c>
      <c r="BK16" t="s">
        <v>582</v>
      </c>
      <c r="DJ16" t="s">
        <v>445</v>
      </c>
      <c r="DK16" t="s">
        <v>445</v>
      </c>
      <c r="DN16" s="112"/>
      <c r="DO16" s="207" t="s">
        <v>499</v>
      </c>
      <c r="DP16" s="207">
        <v>4</v>
      </c>
      <c r="DQ16" s="207">
        <f t="shared" si="4"/>
        <v>1</v>
      </c>
      <c r="EK16" t="s">
        <v>69</v>
      </c>
      <c r="EM16" s="394" t="s">
        <v>1941</v>
      </c>
      <c r="EN16" s="394" t="s">
        <v>1941</v>
      </c>
      <c r="EO16" s="394" t="s">
        <v>1941</v>
      </c>
      <c r="FA16" s="217" t="s">
        <v>555</v>
      </c>
      <c r="FB16" s="217" t="s">
        <v>69</v>
      </c>
      <c r="FC16" t="s">
        <v>320</v>
      </c>
      <c r="FD16" t="s">
        <v>22</v>
      </c>
      <c r="FF16" s="35" t="s">
        <v>829</v>
      </c>
      <c r="FN16" t="s">
        <v>324</v>
      </c>
      <c r="FP16" t="s">
        <v>678</v>
      </c>
      <c r="HA16" s="372" t="s">
        <v>588</v>
      </c>
      <c r="HO16" t="s">
        <v>878</v>
      </c>
      <c r="HP16" t="s">
        <v>879</v>
      </c>
      <c r="HQ16" t="s">
        <v>880</v>
      </c>
      <c r="HR16" t="s">
        <v>881</v>
      </c>
      <c r="HX16" t="s">
        <v>768</v>
      </c>
      <c r="ID16" s="395" t="s">
        <v>1804</v>
      </c>
      <c r="IL16" t="s">
        <v>1804</v>
      </c>
      <c r="IR16" t="s">
        <v>1804</v>
      </c>
      <c r="IS16" t="s">
        <v>1804</v>
      </c>
      <c r="IV16" s="348" t="s">
        <v>1793</v>
      </c>
      <c r="KB16" t="s">
        <v>1111</v>
      </c>
      <c r="KC16" s="395" t="s">
        <v>1806</v>
      </c>
      <c r="KD16" t="s">
        <v>555</v>
      </c>
      <c r="KV16" t="s">
        <v>354</v>
      </c>
      <c r="LJ16" t="s">
        <v>505</v>
      </c>
      <c r="LK16">
        <v>2</v>
      </c>
      <c r="LX16" s="194" t="s">
        <v>487</v>
      </c>
      <c r="LY16" s="194" t="s">
        <v>497</v>
      </c>
      <c r="LZ16" s="194" t="s">
        <v>480</v>
      </c>
      <c r="MN16" t="s">
        <v>983</v>
      </c>
      <c r="NN16" t="s">
        <v>582</v>
      </c>
      <c r="NO16" s="239" t="s">
        <v>69</v>
      </c>
      <c r="NP16" s="239" t="s">
        <v>22</v>
      </c>
      <c r="NQ16" s="239" t="s">
        <v>22</v>
      </c>
      <c r="NR16" s="239" t="s">
        <v>22</v>
      </c>
      <c r="NS16" s="239" t="s">
        <v>22</v>
      </c>
      <c r="NT16" s="239" t="s">
        <v>22</v>
      </c>
      <c r="NU16" s="239" t="s">
        <v>22</v>
      </c>
      <c r="NV16" s="239" t="s">
        <v>22</v>
      </c>
      <c r="NW16" s="239" t="s">
        <v>22</v>
      </c>
      <c r="NX16" s="239" t="s">
        <v>22</v>
      </c>
      <c r="NY16" s="239" t="s">
        <v>22</v>
      </c>
      <c r="NZ16" s="239" t="s">
        <v>22</v>
      </c>
      <c r="OA16" s="207" t="s">
        <v>397</v>
      </c>
      <c r="OB16" s="207" t="s">
        <v>398</v>
      </c>
      <c r="OC16" s="239" t="s">
        <v>338</v>
      </c>
      <c r="OD16" s="239" t="s">
        <v>398</v>
      </c>
      <c r="OE16" s="239"/>
      <c r="OG16" s="250" t="s">
        <v>22</v>
      </c>
      <c r="OH16" t="s">
        <v>22</v>
      </c>
      <c r="PU16" s="207" t="s">
        <v>1470</v>
      </c>
      <c r="PV16" s="207" t="str">
        <f t="shared" ref="PV16:PV20" si="7">$PV$1</f>
        <v>HelperSpringControlNo</v>
      </c>
      <c r="SD16" t="s">
        <v>1227</v>
      </c>
      <c r="SE16" t="s">
        <v>1227</v>
      </c>
      <c r="SR16" t="s">
        <v>1240</v>
      </c>
      <c r="TL16" s="35" t="s">
        <v>1335</v>
      </c>
      <c r="TM16" s="212" t="s">
        <v>1335</v>
      </c>
      <c r="TX16" s="250" t="s">
        <v>1285</v>
      </c>
      <c r="UN16" t="s">
        <v>1138</v>
      </c>
      <c r="WM16" s="212" t="s">
        <v>1335</v>
      </c>
      <c r="WN16" s="35" t="s">
        <v>1335</v>
      </c>
      <c r="WO16" s="250" t="s">
        <v>1285</v>
      </c>
      <c r="AAE16" s="207" t="s">
        <v>309</v>
      </c>
      <c r="AAF16" s="207" t="str">
        <f>$AAG$23</f>
        <v>TimberEcoStainedHingeNew</v>
      </c>
      <c r="AAG16" s="207" t="str">
        <f>$AAH$23</f>
        <v>BiFoldFauxwoodHingeNew</v>
      </c>
      <c r="AAH16" s="207" t="str">
        <f>$AAH$23</f>
        <v>BiFoldFauxwoodHingeNew</v>
      </c>
      <c r="AAR16" s="207" t="s">
        <v>555</v>
      </c>
      <c r="AAS16" s="207" t="s">
        <v>1862</v>
      </c>
      <c r="AAY16" s="207" t="s">
        <v>473</v>
      </c>
      <c r="AAZ16" s="207">
        <v>2</v>
      </c>
      <c r="ABA16" t="s">
        <v>2045</v>
      </c>
    </row>
    <row r="17" spans="12:729" ht="15">
      <c r="L17" t="s">
        <v>120</v>
      </c>
      <c r="M17">
        <v>834</v>
      </c>
      <c r="N17" t="s">
        <v>4</v>
      </c>
      <c r="O17">
        <v>217021</v>
      </c>
      <c r="P17" t="s">
        <v>10</v>
      </c>
      <c r="Q17">
        <v>2291</v>
      </c>
      <c r="R17" t="s">
        <v>91</v>
      </c>
      <c r="S17" t="s">
        <v>25</v>
      </c>
      <c r="T17">
        <v>2238</v>
      </c>
      <c r="V17" s="1"/>
      <c r="AA17" s="35" t="s">
        <v>446</v>
      </c>
      <c r="AN17" s="35" t="s">
        <v>268</v>
      </c>
      <c r="AW17" s="36"/>
      <c r="BD17" s="401" t="s">
        <v>1971</v>
      </c>
      <c r="BE17" t="s">
        <v>556</v>
      </c>
      <c r="BK17" t="s">
        <v>320</v>
      </c>
      <c r="BM17" t="s">
        <v>1821</v>
      </c>
      <c r="BN17" t="s">
        <v>1822</v>
      </c>
      <c r="CS17" t="s">
        <v>1449</v>
      </c>
      <c r="DJ17" t="s">
        <v>446</v>
      </c>
      <c r="DK17" t="s">
        <v>446</v>
      </c>
      <c r="DN17" s="112"/>
      <c r="DO17" s="207" t="s">
        <v>502</v>
      </c>
      <c r="DP17" s="207">
        <v>6</v>
      </c>
      <c r="DQ17" s="207">
        <f t="shared" si="4"/>
        <v>2</v>
      </c>
      <c r="EM17" t="s">
        <v>1927</v>
      </c>
      <c r="EN17" s="348" t="s">
        <v>1927</v>
      </c>
      <c r="EO17" s="348" t="s">
        <v>1927</v>
      </c>
      <c r="FA17" s="217" t="s">
        <v>871</v>
      </c>
      <c r="FB17" s="217" t="s">
        <v>69</v>
      </c>
      <c r="FC17" t="s">
        <v>319</v>
      </c>
      <c r="FD17" t="s">
        <v>22</v>
      </c>
      <c r="FF17" t="s">
        <v>315</v>
      </c>
      <c r="FN17" t="s">
        <v>360</v>
      </c>
      <c r="FP17" t="s">
        <v>679</v>
      </c>
      <c r="HO17" s="348" t="s">
        <v>609</v>
      </c>
      <c r="HP17" s="348" t="s">
        <v>609</v>
      </c>
      <c r="HQ17" s="348" t="s">
        <v>609</v>
      </c>
      <c r="HR17" s="348" t="s">
        <v>609</v>
      </c>
      <c r="HX17" t="s">
        <v>757</v>
      </c>
      <c r="HZ17" t="s">
        <v>2027</v>
      </c>
      <c r="ID17" s="395" t="s">
        <v>333</v>
      </c>
      <c r="IL17" t="s">
        <v>333</v>
      </c>
      <c r="IR17" t="s">
        <v>333</v>
      </c>
      <c r="IS17" t="s">
        <v>333</v>
      </c>
      <c r="IV17" s="348" t="s">
        <v>26</v>
      </c>
      <c r="KB17" t="s">
        <v>1974</v>
      </c>
      <c r="KC17" t="s">
        <v>1970</v>
      </c>
      <c r="KD17" t="s">
        <v>871</v>
      </c>
      <c r="LJ17" t="s">
        <v>507</v>
      </c>
      <c r="LK17">
        <v>2</v>
      </c>
      <c r="LX17" s="194" t="s">
        <v>488</v>
      </c>
      <c r="LY17" s="194" t="s">
        <v>517</v>
      </c>
      <c r="LZ17" s="194" t="s">
        <v>481</v>
      </c>
      <c r="ME17" s="195" t="s">
        <v>1828</v>
      </c>
      <c r="MF17" s="195" t="s">
        <v>1829</v>
      </c>
      <c r="NN17" t="s">
        <v>320</v>
      </c>
      <c r="NO17" s="239" t="s">
        <v>396</v>
      </c>
      <c r="NP17" s="239" t="s">
        <v>69</v>
      </c>
      <c r="NQ17" s="239" t="s">
        <v>69</v>
      </c>
      <c r="NR17" s="239" t="s">
        <v>69</v>
      </c>
      <c r="NS17" s="239" t="s">
        <v>69</v>
      </c>
      <c r="NT17" s="239" t="s">
        <v>69</v>
      </c>
      <c r="NU17" s="239" t="s">
        <v>69</v>
      </c>
      <c r="NV17" s="239" t="s">
        <v>69</v>
      </c>
      <c r="NW17" s="239" t="s">
        <v>69</v>
      </c>
      <c r="NX17" s="239" t="s">
        <v>69</v>
      </c>
      <c r="NY17" s="239" t="s">
        <v>69</v>
      </c>
      <c r="NZ17" s="239"/>
      <c r="OA17" s="207" t="s">
        <v>398</v>
      </c>
      <c r="OB17" s="207" t="s">
        <v>393</v>
      </c>
      <c r="OC17" s="239"/>
      <c r="OD17" s="383" t="s">
        <v>394</v>
      </c>
      <c r="OE17" s="239"/>
      <c r="OG17" s="250" t="s">
        <v>69</v>
      </c>
      <c r="OH17" t="s">
        <v>69</v>
      </c>
      <c r="PU17" s="207" t="s">
        <v>1471</v>
      </c>
      <c r="PV17" s="207" t="str">
        <f t="shared" si="7"/>
        <v>HelperSpringControlNo</v>
      </c>
      <c r="QL17" t="s">
        <v>1427</v>
      </c>
      <c r="QM17" t="s">
        <v>1428</v>
      </c>
      <c r="QN17" t="s">
        <v>1429</v>
      </c>
      <c r="QO17" t="s">
        <v>1430</v>
      </c>
      <c r="QP17" t="s">
        <v>1431</v>
      </c>
      <c r="QQ17" t="s">
        <v>1432</v>
      </c>
      <c r="QR17" t="s">
        <v>1433</v>
      </c>
      <c r="QS17" t="s">
        <v>1434</v>
      </c>
      <c r="QT17" t="s">
        <v>1435</v>
      </c>
      <c r="QU17" t="s">
        <v>1437</v>
      </c>
      <c r="QV17" t="s">
        <v>1508</v>
      </c>
      <c r="QW17" t="s">
        <v>1509</v>
      </c>
      <c r="SD17" t="s">
        <v>1238</v>
      </c>
      <c r="SE17" t="s">
        <v>1238</v>
      </c>
      <c r="SR17" t="s">
        <v>1226</v>
      </c>
      <c r="TL17" s="35" t="s">
        <v>1336</v>
      </c>
      <c r="TM17" s="212" t="s">
        <v>1336</v>
      </c>
      <c r="TX17" s="250" t="s">
        <v>1284</v>
      </c>
      <c r="WM17" s="212" t="s">
        <v>1336</v>
      </c>
      <c r="WN17" s="35" t="s">
        <v>1336</v>
      </c>
      <c r="WO17" s="250" t="s">
        <v>1284</v>
      </c>
      <c r="AAE17" s="207" t="s">
        <v>310</v>
      </c>
      <c r="AAF17" s="207" t="str">
        <f>$AAD$23</f>
        <v>HingeNANew</v>
      </c>
      <c r="AAG17" s="207" t="str">
        <f>$AAD$23</f>
        <v>HingeNANew</v>
      </c>
      <c r="AAH17" s="207" t="str">
        <f>$AAD$23</f>
        <v>HingeNANew</v>
      </c>
      <c r="AAM17" s="189"/>
      <c r="AAR17" s="207" t="s">
        <v>871</v>
      </c>
      <c r="AAS17" s="207" t="s">
        <v>1862</v>
      </c>
      <c r="AAY17" s="207" t="s">
        <v>474</v>
      </c>
      <c r="AAZ17" s="207">
        <v>3</v>
      </c>
      <c r="ABA17" s="370" t="s">
        <v>2046</v>
      </c>
    </row>
    <row r="18" spans="12:729" s="370" customFormat="1" ht="15">
      <c r="L18" s="370" t="s">
        <v>121</v>
      </c>
      <c r="M18" s="370">
        <v>838</v>
      </c>
      <c r="N18" s="370" t="s">
        <v>5</v>
      </c>
      <c r="O18" s="370">
        <v>217022</v>
      </c>
      <c r="P18" s="370" t="s">
        <v>11</v>
      </c>
      <c r="Q18" s="370">
        <v>2292</v>
      </c>
      <c r="R18" s="370" t="s">
        <v>93</v>
      </c>
      <c r="S18" s="370" t="s">
        <v>28</v>
      </c>
      <c r="T18" s="370">
        <v>2239</v>
      </c>
      <c r="V18" s="371"/>
      <c r="W18" s="370" t="s">
        <v>1160</v>
      </c>
      <c r="AA18" s="372" t="s">
        <v>450</v>
      </c>
      <c r="AN18" s="370" t="s">
        <v>270</v>
      </c>
      <c r="AW18" s="373"/>
      <c r="BD18" s="401" t="s">
        <v>1972</v>
      </c>
      <c r="BE18" s="370" t="s">
        <v>555</v>
      </c>
      <c r="BK18" s="370" t="s">
        <v>319</v>
      </c>
      <c r="CS18" s="370" t="s">
        <v>765</v>
      </c>
      <c r="DJ18" s="370" t="s">
        <v>450</v>
      </c>
      <c r="DK18" s="370" t="s">
        <v>450</v>
      </c>
      <c r="DN18" s="374"/>
      <c r="DO18" s="375" t="s">
        <v>505</v>
      </c>
      <c r="DP18" s="375">
        <v>4</v>
      </c>
      <c r="DQ18" s="375">
        <f t="shared" si="4"/>
        <v>2</v>
      </c>
      <c r="DR18" s="376"/>
      <c r="DS18" s="376"/>
      <c r="DT18" s="376"/>
      <c r="DU18" s="376"/>
      <c r="DV18" s="376"/>
      <c r="DW18" s="376"/>
      <c r="DY18" s="376"/>
      <c r="DZ18" s="376"/>
      <c r="EA18" s="376"/>
      <c r="EB18" s="376"/>
      <c r="EC18" s="376"/>
      <c r="ED18" s="376"/>
      <c r="EE18" s="376"/>
      <c r="EM18" t="s">
        <v>1779</v>
      </c>
      <c r="EN18" s="370" t="s">
        <v>1779</v>
      </c>
      <c r="EO18" s="370" t="s">
        <v>1779</v>
      </c>
      <c r="FA18" s="377" t="s">
        <v>554</v>
      </c>
      <c r="FB18" s="377" t="s">
        <v>69</v>
      </c>
      <c r="FC18" s="378" t="s">
        <v>1531</v>
      </c>
      <c r="FD18" s="378" t="s">
        <v>22</v>
      </c>
      <c r="FF18" s="395" t="s">
        <v>1887</v>
      </c>
      <c r="FG18" s="375" t="s">
        <v>153</v>
      </c>
      <c r="FH18" s="375" t="s">
        <v>1546</v>
      </c>
      <c r="FI18" s="379" t="s">
        <v>869</v>
      </c>
      <c r="FJ18" s="379" t="s">
        <v>870</v>
      </c>
      <c r="FK18" s="380" t="s">
        <v>1784</v>
      </c>
      <c r="FL18" s="380" t="s">
        <v>1783</v>
      </c>
      <c r="FN18" s="370" t="s">
        <v>325</v>
      </c>
      <c r="FP18" s="370" t="s">
        <v>680</v>
      </c>
      <c r="HX18" t="s">
        <v>679</v>
      </c>
      <c r="HY18" s="381" t="s">
        <v>758</v>
      </c>
      <c r="HZ18" s="370" t="s">
        <v>26</v>
      </c>
      <c r="ID18" s="395" t="s">
        <v>1978</v>
      </c>
      <c r="IL18" t="s">
        <v>1978</v>
      </c>
      <c r="IN18"/>
      <c r="IR18" t="s">
        <v>1978</v>
      </c>
      <c r="IS18" t="s">
        <v>1978</v>
      </c>
      <c r="JH18" s="370" t="s">
        <v>1783</v>
      </c>
      <c r="KB18" t="s">
        <v>1975</v>
      </c>
      <c r="KC18" t="s">
        <v>1971</v>
      </c>
      <c r="KD18" s="370" t="s">
        <v>554</v>
      </c>
      <c r="LJ18" s="372" t="s">
        <v>514</v>
      </c>
      <c r="LK18" s="372">
        <v>2</v>
      </c>
      <c r="LM18" s="372"/>
      <c r="LX18" s="370" t="s">
        <v>891</v>
      </c>
      <c r="LY18" s="382" t="s">
        <v>499</v>
      </c>
      <c r="LZ18" s="382" t="s">
        <v>524</v>
      </c>
      <c r="MA18" s="382"/>
      <c r="MB18" s="376"/>
      <c r="MC18" s="376"/>
      <c r="ME18" s="376" t="s">
        <v>306</v>
      </c>
      <c r="MF18" s="376" t="s">
        <v>306</v>
      </c>
      <c r="MG18" s="376"/>
      <c r="MH18" s="376"/>
      <c r="NN18" s="370" t="s">
        <v>319</v>
      </c>
      <c r="NO18" s="383" t="s">
        <v>399</v>
      </c>
      <c r="NP18" s="383" t="s">
        <v>396</v>
      </c>
      <c r="NQ18" s="383" t="s">
        <v>396</v>
      </c>
      <c r="NR18" s="383" t="s">
        <v>396</v>
      </c>
      <c r="NS18" s="383" t="s">
        <v>396</v>
      </c>
      <c r="NT18" s="383" t="s">
        <v>396</v>
      </c>
      <c r="NU18" s="383" t="s">
        <v>396</v>
      </c>
      <c r="NV18" s="383" t="s">
        <v>396</v>
      </c>
      <c r="NW18" s="383" t="s">
        <v>396</v>
      </c>
      <c r="NX18" s="383" t="s">
        <v>396</v>
      </c>
      <c r="NY18" s="383" t="s">
        <v>396</v>
      </c>
      <c r="NZ18" s="383"/>
      <c r="OA18" s="375" t="s">
        <v>393</v>
      </c>
      <c r="OB18" s="375" t="s">
        <v>394</v>
      </c>
      <c r="OD18" s="383"/>
      <c r="OE18" s="383"/>
      <c r="OF18" s="383"/>
      <c r="OG18" s="378" t="s">
        <v>396</v>
      </c>
      <c r="OH18" s="370" t="s">
        <v>396</v>
      </c>
      <c r="PU18" s="375" t="s">
        <v>1472</v>
      </c>
      <c r="PV18" s="375" t="str">
        <f t="shared" si="7"/>
        <v>HelperSpringControlNo</v>
      </c>
      <c r="QL18" s="370" t="s">
        <v>328</v>
      </c>
      <c r="QM18" s="370" t="s">
        <v>328</v>
      </c>
      <c r="QN18" s="370" t="s">
        <v>338</v>
      </c>
      <c r="QO18" s="370" t="s">
        <v>338</v>
      </c>
      <c r="QP18" s="370" t="s">
        <v>338</v>
      </c>
      <c r="QQ18" s="370" t="s">
        <v>338</v>
      </c>
      <c r="QR18" s="370" t="s">
        <v>338</v>
      </c>
      <c r="QS18" s="370" t="s">
        <v>338</v>
      </c>
      <c r="QT18" s="370" t="s">
        <v>338</v>
      </c>
      <c r="QU18" s="370" t="s">
        <v>338</v>
      </c>
      <c r="QV18" s="370" t="s">
        <v>338</v>
      </c>
      <c r="QW18" s="370" t="s">
        <v>338</v>
      </c>
      <c r="SD18" s="370" t="s">
        <v>1224</v>
      </c>
      <c r="SE18" s="370" t="s">
        <v>1224</v>
      </c>
      <c r="SR18" s="370" t="s">
        <v>1241</v>
      </c>
      <c r="TL18" s="372" t="s">
        <v>1281</v>
      </c>
      <c r="TM18" s="384" t="s">
        <v>1281</v>
      </c>
      <c r="TX18" s="378" t="s">
        <v>1286</v>
      </c>
      <c r="WM18" s="384" t="s">
        <v>1281</v>
      </c>
      <c r="WN18" s="372" t="s">
        <v>1281</v>
      </c>
      <c r="WO18" s="378" t="s">
        <v>1286</v>
      </c>
      <c r="AAE18" s="207" t="s">
        <v>998</v>
      </c>
      <c r="AAF18" s="207" t="str">
        <f>$AAK$23</f>
        <v>PivotHingedNew</v>
      </c>
      <c r="AAG18" s="207" t="str">
        <f>AAK39</f>
        <v>PivotHingedFauxwoodNew</v>
      </c>
      <c r="AAH18" s="207" t="str">
        <f>AAK39</f>
        <v>PivotHingedFauxwoodNew</v>
      </c>
      <c r="AAM18" s="402"/>
      <c r="AAR18" s="207" t="s">
        <v>1970</v>
      </c>
      <c r="AAS18" s="207" t="s">
        <v>1862</v>
      </c>
      <c r="AAY18" s="375" t="s">
        <v>1954</v>
      </c>
      <c r="AAZ18" s="375">
        <v>3</v>
      </c>
      <c r="ABA18" s="370" t="s">
        <v>2046</v>
      </c>
    </row>
    <row r="19" spans="12:729" s="370" customFormat="1" ht="15">
      <c r="L19" s="370" t="s">
        <v>122</v>
      </c>
      <c r="M19" s="370">
        <v>839</v>
      </c>
      <c r="N19" s="370" t="s">
        <v>6</v>
      </c>
      <c r="O19" s="370">
        <v>217023</v>
      </c>
      <c r="P19" s="370" t="s">
        <v>12</v>
      </c>
      <c r="Q19" s="370">
        <v>2293</v>
      </c>
      <c r="R19" s="370" t="s">
        <v>95</v>
      </c>
      <c r="S19" s="370" t="s">
        <v>96</v>
      </c>
      <c r="T19" s="370">
        <v>2240</v>
      </c>
      <c r="V19" s="371"/>
      <c r="AA19" s="372" t="s">
        <v>436</v>
      </c>
      <c r="AN19" s="372"/>
      <c r="AW19" s="373"/>
      <c r="BD19" s="401" t="s">
        <v>1973</v>
      </c>
      <c r="BE19" s="370" t="s">
        <v>871</v>
      </c>
      <c r="BK19" s="370" t="s">
        <v>338</v>
      </c>
      <c r="CS19" s="370" t="s">
        <v>413</v>
      </c>
      <c r="DJ19" s="370" t="s">
        <v>436</v>
      </c>
      <c r="DK19" s="370" t="s">
        <v>436</v>
      </c>
      <c r="DN19" s="374"/>
      <c r="DO19" s="375" t="s">
        <v>507</v>
      </c>
      <c r="DP19" s="375">
        <v>3</v>
      </c>
      <c r="DQ19" s="375">
        <f t="shared" si="4"/>
        <v>2</v>
      </c>
      <c r="DR19" s="376"/>
      <c r="DS19" s="376"/>
      <c r="DT19" s="376"/>
      <c r="DU19" s="376"/>
      <c r="DV19" s="376"/>
      <c r="DW19" s="376"/>
      <c r="DY19" s="376"/>
      <c r="DZ19" s="376"/>
      <c r="EA19" s="376"/>
      <c r="EB19" s="376"/>
      <c r="EC19" s="376"/>
      <c r="ED19" s="376"/>
      <c r="EE19" s="376"/>
      <c r="EM19" t="s">
        <v>1780</v>
      </c>
      <c r="EN19" s="370" t="s">
        <v>1780</v>
      </c>
      <c r="EO19" s="370" t="s">
        <v>1780</v>
      </c>
      <c r="FC19" s="370" t="s">
        <v>2036</v>
      </c>
      <c r="FD19" s="370" t="s">
        <v>22</v>
      </c>
      <c r="FF19" t="s">
        <v>865</v>
      </c>
      <c r="FG19" s="375" t="s">
        <v>306</v>
      </c>
      <c r="FH19" s="375" t="str">
        <f>$FG$1</f>
        <v>Timber_Hinged_Frame_Type</v>
      </c>
      <c r="FI19" s="379" t="str">
        <f>$FJ$1</f>
        <v>Hinged_Frame_Type</v>
      </c>
      <c r="FJ19" s="379" t="str">
        <f t="shared" ref="FJ19:FK19" si="8">$FJ$1</f>
        <v>Hinged_Frame_Type</v>
      </c>
      <c r="FK19" s="379" t="str">
        <f t="shared" si="8"/>
        <v>Hinged_Frame_Type</v>
      </c>
      <c r="FL19" s="380" t="str">
        <f>$FJ$34</f>
        <v>Air_Hinged_Frame_TypeIN</v>
      </c>
      <c r="FN19" s="370" t="s">
        <v>326</v>
      </c>
      <c r="FP19" s="370" t="s">
        <v>681</v>
      </c>
      <c r="HX19" t="s">
        <v>683</v>
      </c>
      <c r="HY19" s="381" t="s">
        <v>759</v>
      </c>
      <c r="ID19" s="395" t="s">
        <v>1843</v>
      </c>
      <c r="IL19" s="370" t="s">
        <v>1843</v>
      </c>
      <c r="IR19" s="370" t="s">
        <v>1843</v>
      </c>
      <c r="IS19" s="370" t="s">
        <v>1843</v>
      </c>
      <c r="JH19" s="370" t="s">
        <v>2008</v>
      </c>
      <c r="JI19" s="370" t="s">
        <v>2009</v>
      </c>
      <c r="JL19" s="370" t="s">
        <v>2035</v>
      </c>
      <c r="KB19" t="s">
        <v>1976</v>
      </c>
      <c r="KC19" t="s">
        <v>1972</v>
      </c>
      <c r="LJ19" s="372" t="s">
        <v>508</v>
      </c>
      <c r="LK19" s="372">
        <v>2</v>
      </c>
      <c r="LM19" s="372"/>
      <c r="LX19" s="370" t="s">
        <v>892</v>
      </c>
      <c r="LY19" s="382" t="s">
        <v>923</v>
      </c>
      <c r="LZ19" s="382" t="s">
        <v>527</v>
      </c>
      <c r="MA19" s="382"/>
      <c r="MB19" s="376"/>
      <c r="MC19" s="376"/>
      <c r="ME19" s="376" t="s">
        <v>310</v>
      </c>
      <c r="MF19" s="376" t="s">
        <v>306</v>
      </c>
      <c r="MG19" s="376"/>
      <c r="MH19" s="376"/>
      <c r="NN19" s="370" t="s">
        <v>338</v>
      </c>
      <c r="NO19" s="383"/>
      <c r="NP19" s="383"/>
      <c r="NQ19" s="383"/>
      <c r="NR19" s="383"/>
      <c r="NS19" s="383"/>
      <c r="NT19" s="383"/>
      <c r="NU19" s="383"/>
      <c r="NV19" s="383"/>
      <c r="NW19" s="383" t="s">
        <v>399</v>
      </c>
      <c r="NX19" s="383" t="s">
        <v>399</v>
      </c>
      <c r="NY19" s="383" t="s">
        <v>399</v>
      </c>
      <c r="NZ19" s="383"/>
      <c r="OA19" s="375" t="s">
        <v>394</v>
      </c>
      <c r="OB19" s="383"/>
      <c r="OD19" s="383"/>
      <c r="OE19" s="383"/>
      <c r="OF19" s="383"/>
      <c r="OG19" s="378" t="s">
        <v>399</v>
      </c>
      <c r="PU19" s="375" t="s">
        <v>1475</v>
      </c>
      <c r="PV19" s="375" t="str">
        <f t="shared" si="7"/>
        <v>HelperSpringControlNo</v>
      </c>
      <c r="QL19" s="370" t="s">
        <v>411</v>
      </c>
      <c r="QM19" s="370" t="s">
        <v>411</v>
      </c>
      <c r="RU19" s="370" t="s">
        <v>1180</v>
      </c>
      <c r="SD19" s="370" t="s">
        <v>1239</v>
      </c>
      <c r="SE19" s="370" t="s">
        <v>1239</v>
      </c>
      <c r="SR19" s="370" t="s">
        <v>1242</v>
      </c>
      <c r="TL19" s="372" t="s">
        <v>1282</v>
      </c>
      <c r="TM19" s="384" t="s">
        <v>1282</v>
      </c>
      <c r="TX19" s="378" t="s">
        <v>1287</v>
      </c>
      <c r="WM19" s="384" t="s">
        <v>1282</v>
      </c>
      <c r="WN19" s="372" t="s">
        <v>1282</v>
      </c>
      <c r="WO19" s="378" t="s">
        <v>1287</v>
      </c>
      <c r="AAE19" s="207" t="s">
        <v>338</v>
      </c>
      <c r="AAF19" s="207" t="str">
        <f>$AAD$23</f>
        <v>HingeNANew</v>
      </c>
      <c r="AAG19" s="207" t="str">
        <f>$AAD$23</f>
        <v>HingeNANew</v>
      </c>
      <c r="AAH19" s="207" t="str">
        <f>$AAD$23</f>
        <v>HingeNANew</v>
      </c>
      <c r="AAM19" s="402"/>
      <c r="AAR19" s="207" t="s">
        <v>1971</v>
      </c>
      <c r="AAS19" s="207" t="s">
        <v>1862</v>
      </c>
      <c r="AAY19" s="375" t="s">
        <v>1955</v>
      </c>
      <c r="AAZ19" s="375">
        <v>3</v>
      </c>
      <c r="ABA19" s="370" t="s">
        <v>2046</v>
      </c>
    </row>
    <row r="20" spans="12:729" s="370" customFormat="1" ht="15">
      <c r="L20" s="370" t="s">
        <v>63</v>
      </c>
      <c r="M20" s="370">
        <v>847</v>
      </c>
      <c r="N20" s="370" t="s">
        <v>7</v>
      </c>
      <c r="O20" s="370">
        <v>217024</v>
      </c>
      <c r="P20" s="370" t="s">
        <v>13</v>
      </c>
      <c r="Q20" s="370">
        <v>2296</v>
      </c>
      <c r="R20" s="370" t="s">
        <v>98</v>
      </c>
      <c r="S20" s="370" t="s">
        <v>21</v>
      </c>
      <c r="T20" s="370">
        <v>2241</v>
      </c>
      <c r="V20" s="371"/>
      <c r="W20" s="370" t="s">
        <v>1093</v>
      </c>
      <c r="AA20" s="372" t="s">
        <v>250</v>
      </c>
      <c r="AW20" s="373"/>
      <c r="BD20" s="401" t="s">
        <v>1111</v>
      </c>
      <c r="BE20" s="370" t="s">
        <v>554</v>
      </c>
      <c r="BK20" s="378" t="s">
        <v>1531</v>
      </c>
      <c r="CS20" s="370" t="s">
        <v>412</v>
      </c>
      <c r="CW20" s="370" t="s">
        <v>1992</v>
      </c>
      <c r="DJ20" s="370" t="s">
        <v>250</v>
      </c>
      <c r="DK20" s="370" t="s">
        <v>250</v>
      </c>
      <c r="DN20" s="374"/>
      <c r="DO20" s="375" t="s">
        <v>514</v>
      </c>
      <c r="DP20" s="375">
        <v>3</v>
      </c>
      <c r="DQ20" s="375">
        <f t="shared" si="4"/>
        <v>2</v>
      </c>
      <c r="DR20" s="376"/>
      <c r="DS20" s="376"/>
      <c r="DT20" s="376"/>
      <c r="DU20" s="376"/>
      <c r="DV20" s="376"/>
      <c r="DW20" s="376"/>
      <c r="DY20" s="376"/>
      <c r="DZ20" s="376"/>
      <c r="EA20" s="376"/>
      <c r="EB20" s="376"/>
      <c r="EC20" s="376"/>
      <c r="ED20" s="376"/>
      <c r="EE20" s="376"/>
      <c r="EJ20" t="s">
        <v>1815</v>
      </c>
      <c r="EM20" t="s">
        <v>820</v>
      </c>
      <c r="EN20" t="s">
        <v>820</v>
      </c>
      <c r="EO20" t="s">
        <v>820</v>
      </c>
      <c r="FF20" t="s">
        <v>866</v>
      </c>
      <c r="FG20" s="375" t="s">
        <v>307</v>
      </c>
      <c r="FH20" s="375" t="str">
        <f>$FH$1</f>
        <v>Timber_Double_Hinged_Frame_Type</v>
      </c>
      <c r="FI20" s="379" t="str">
        <f>$FK$1</f>
        <v>Double_Hinged_Frame_Type</v>
      </c>
      <c r="FJ20" s="379" t="str">
        <f t="shared" ref="FJ20:FK20" si="9">$FK$1</f>
        <v>Double_Hinged_Frame_Type</v>
      </c>
      <c r="FK20" s="379" t="str">
        <f t="shared" si="9"/>
        <v>Double_Hinged_Frame_Type</v>
      </c>
      <c r="FL20" s="380" t="str">
        <f>$FK$34</f>
        <v>Air_Double_Hinged_Frame_Type</v>
      </c>
      <c r="FN20" s="370" t="s">
        <v>316</v>
      </c>
      <c r="FP20" s="370" t="s">
        <v>865</v>
      </c>
      <c r="HX20" s="381" t="s">
        <v>758</v>
      </c>
      <c r="HY20" s="381" t="s">
        <v>760</v>
      </c>
      <c r="ID20" s="395" t="s">
        <v>1979</v>
      </c>
      <c r="IL20" s="370" t="s">
        <v>1979</v>
      </c>
      <c r="IR20" s="370" t="s">
        <v>1979</v>
      </c>
      <c r="IS20" s="370" t="s">
        <v>1979</v>
      </c>
      <c r="JH20" s="370" t="s">
        <v>22</v>
      </c>
      <c r="JI20" s="370" t="s">
        <v>22</v>
      </c>
      <c r="JL20" s="370" t="s">
        <v>22</v>
      </c>
      <c r="KB20" t="s">
        <v>1977</v>
      </c>
      <c r="KC20" t="s">
        <v>1973</v>
      </c>
      <c r="KV20" s="370" t="s">
        <v>225</v>
      </c>
      <c r="LJ20" s="372" t="s">
        <v>510</v>
      </c>
      <c r="LK20" s="372">
        <v>2</v>
      </c>
      <c r="LM20" s="372"/>
      <c r="LX20" s="370" t="s">
        <v>1002</v>
      </c>
      <c r="LY20" s="382" t="s">
        <v>929</v>
      </c>
      <c r="LZ20" s="382" t="s">
        <v>482</v>
      </c>
      <c r="MA20" s="382"/>
      <c r="MB20" s="376"/>
      <c r="MC20" s="376"/>
      <c r="ME20" s="376" t="s">
        <v>306</v>
      </c>
      <c r="MF20" s="400" t="s">
        <v>998</v>
      </c>
      <c r="MG20" s="376"/>
      <c r="MH20" s="376"/>
      <c r="NN20" s="378" t="s">
        <v>1531</v>
      </c>
      <c r="NO20" s="373"/>
      <c r="NP20" s="373"/>
      <c r="NQ20" s="373"/>
      <c r="NR20" s="373"/>
      <c r="NS20" s="373"/>
      <c r="NT20" s="373"/>
      <c r="NU20" s="373"/>
      <c r="NV20" s="373"/>
      <c r="NW20" s="373"/>
      <c r="NX20" s="373"/>
      <c r="NY20" s="373"/>
      <c r="NZ20" s="373"/>
      <c r="OA20" s="373"/>
      <c r="OB20" s="373"/>
      <c r="OD20" s="373"/>
      <c r="OE20" s="373"/>
      <c r="OF20" s="373"/>
      <c r="PU20" s="375" t="s">
        <v>1476</v>
      </c>
      <c r="PV20" s="375" t="str">
        <f t="shared" si="7"/>
        <v>HelperSpringControlNo</v>
      </c>
      <c r="QL20" s="370" t="s">
        <v>383</v>
      </c>
      <c r="QM20" s="370" t="s">
        <v>383</v>
      </c>
      <c r="RU20" s="370" t="s">
        <v>1201</v>
      </c>
      <c r="SD20" s="370" t="s">
        <v>1243</v>
      </c>
      <c r="SE20" s="370" t="s">
        <v>1243</v>
      </c>
      <c r="SR20" s="370" t="s">
        <v>1244</v>
      </c>
      <c r="TL20" s="372" t="s">
        <v>1337</v>
      </c>
      <c r="TM20" s="384" t="s">
        <v>1337</v>
      </c>
      <c r="TX20" s="378" t="s">
        <v>1288</v>
      </c>
      <c r="WM20" s="384" t="s">
        <v>1337</v>
      </c>
      <c r="WN20" s="372" t="s">
        <v>1337</v>
      </c>
      <c r="WO20" s="378" t="s">
        <v>1288</v>
      </c>
      <c r="AAM20" s="402"/>
      <c r="AAR20" s="207" t="s">
        <v>1972</v>
      </c>
      <c r="AAS20" s="207" t="s">
        <v>1862</v>
      </c>
      <c r="AAY20" s="375" t="s">
        <v>475</v>
      </c>
      <c r="AAZ20" s="375">
        <v>3</v>
      </c>
      <c r="ABA20" s="370" t="s">
        <v>2046</v>
      </c>
    </row>
    <row r="21" spans="12:729" s="370" customFormat="1" ht="15">
      <c r="L21" s="370" t="s">
        <v>65</v>
      </c>
      <c r="M21" s="370">
        <v>21</v>
      </c>
      <c r="N21" s="370" t="s">
        <v>2</v>
      </c>
      <c r="O21" s="370">
        <v>216811</v>
      </c>
      <c r="P21" s="370" t="s">
        <v>14</v>
      </c>
      <c r="Q21" s="370">
        <v>2298</v>
      </c>
      <c r="R21" s="370" t="s">
        <v>100</v>
      </c>
      <c r="S21" s="370" t="s">
        <v>27</v>
      </c>
      <c r="T21" s="370">
        <v>2070</v>
      </c>
      <c r="V21" s="371"/>
      <c r="W21" s="370" t="s">
        <v>1130</v>
      </c>
      <c r="AA21" s="372" t="s">
        <v>444</v>
      </c>
      <c r="AW21" s="373"/>
      <c r="BD21" s="401" t="s">
        <v>1974</v>
      </c>
      <c r="BK21" s="370" t="s">
        <v>1819</v>
      </c>
      <c r="CS21" s="370" t="s">
        <v>336</v>
      </c>
      <c r="CW21" s="370" t="s">
        <v>358</v>
      </c>
      <c r="DJ21" s="370" t="s">
        <v>444</v>
      </c>
      <c r="DK21" s="370" t="s">
        <v>444</v>
      </c>
      <c r="DN21" s="374"/>
      <c r="DO21" s="375" t="s">
        <v>508</v>
      </c>
      <c r="DP21" s="375">
        <v>3</v>
      </c>
      <c r="DQ21" s="375">
        <f t="shared" si="4"/>
        <v>2</v>
      </c>
      <c r="DR21" s="376"/>
      <c r="DS21" s="376"/>
      <c r="DT21" s="376"/>
      <c r="DU21" s="376"/>
      <c r="DV21" s="376"/>
      <c r="DW21" s="376"/>
      <c r="DY21" s="376"/>
      <c r="DZ21" s="376"/>
      <c r="EA21" s="376"/>
      <c r="EB21" s="376"/>
      <c r="EC21" s="376"/>
      <c r="ED21" s="376"/>
      <c r="EE21" s="376"/>
      <c r="EJ21" t="s">
        <v>26</v>
      </c>
      <c r="EM21" t="s">
        <v>232</v>
      </c>
      <c r="EN21" s="370" t="s">
        <v>232</v>
      </c>
      <c r="EO21" s="370" t="s">
        <v>232</v>
      </c>
      <c r="FF21" s="348" t="s">
        <v>1792</v>
      </c>
      <c r="FG21" s="375" t="s">
        <v>308</v>
      </c>
      <c r="FH21" s="375" t="str">
        <f>$FL$1</f>
        <v>Track_Bi_Fold_Frame_Type</v>
      </c>
      <c r="FI21" s="379" t="str">
        <f>$FL$1</f>
        <v>Track_Bi_Fold_Frame_Type</v>
      </c>
      <c r="FJ21" s="379" t="str">
        <f>$FL$1</f>
        <v>Track_Bi_Fold_Frame_Type</v>
      </c>
      <c r="FK21" s="379" t="str">
        <f>$FL$1</f>
        <v>Track_Bi_Fold_Frame_Type</v>
      </c>
      <c r="FL21" s="380" t="str">
        <f t="shared" ref="FI21:FL25" si="10">$FO$1</f>
        <v>NAFrameType</v>
      </c>
      <c r="FN21" s="370" t="s">
        <v>315</v>
      </c>
      <c r="FP21" s="370" t="s">
        <v>682</v>
      </c>
      <c r="HX21" s="381" t="s">
        <v>759</v>
      </c>
      <c r="HY21" s="381" t="s">
        <v>1501</v>
      </c>
      <c r="ID21" s="395" t="s">
        <v>1805</v>
      </c>
      <c r="IL21" s="370" t="s">
        <v>1805</v>
      </c>
      <c r="IR21" s="370" t="s">
        <v>1805</v>
      </c>
      <c r="IS21" s="370" t="s">
        <v>1805</v>
      </c>
      <c r="JH21" s="370" t="s">
        <v>69</v>
      </c>
      <c r="JL21" s="370" t="s">
        <v>69</v>
      </c>
      <c r="KB21" t="s">
        <v>1978</v>
      </c>
      <c r="KC21" t="s">
        <v>1111</v>
      </c>
      <c r="KV21" s="370" t="s">
        <v>26</v>
      </c>
      <c r="LJ21" s="372" t="s">
        <v>520</v>
      </c>
      <c r="LK21" s="372">
        <v>3</v>
      </c>
      <c r="LM21" s="372"/>
      <c r="LX21" s="370" t="s">
        <v>1003</v>
      </c>
      <c r="LY21" s="382" t="s">
        <v>500</v>
      </c>
      <c r="LZ21" s="382" t="s">
        <v>528</v>
      </c>
      <c r="MA21" s="382"/>
      <c r="MB21" s="376"/>
      <c r="MC21" s="376"/>
      <c r="ME21" s="400" t="s">
        <v>998</v>
      </c>
      <c r="MF21" s="376"/>
      <c r="MG21" s="376"/>
      <c r="MH21" s="376"/>
      <c r="NO21" s="373"/>
      <c r="NP21" s="373"/>
      <c r="NQ21" s="373"/>
      <c r="NR21" s="373"/>
      <c r="NS21" s="373"/>
      <c r="NT21" s="373"/>
      <c r="NU21" s="373"/>
      <c r="NV21" s="373"/>
      <c r="NW21" s="373"/>
      <c r="NX21" s="373"/>
      <c r="NY21" s="373"/>
      <c r="NZ21" s="373"/>
      <c r="OA21" s="373"/>
      <c r="OB21" s="373"/>
      <c r="OD21" s="373"/>
      <c r="OE21" s="373"/>
      <c r="OF21" s="373"/>
      <c r="PU21" s="370" t="s">
        <v>1504</v>
      </c>
      <c r="PV21" s="370" t="s">
        <v>1441</v>
      </c>
      <c r="QL21" s="370" t="s">
        <v>1438</v>
      </c>
      <c r="QM21" s="370" t="s">
        <v>1438</v>
      </c>
      <c r="RU21" s="370" t="s">
        <v>1181</v>
      </c>
      <c r="SD21" s="370" t="s">
        <v>1228</v>
      </c>
      <c r="SE21" s="370" t="s">
        <v>1228</v>
      </c>
      <c r="SR21" s="370" t="s">
        <v>1245</v>
      </c>
      <c r="TL21" s="372" t="s">
        <v>1283</v>
      </c>
      <c r="TM21" s="384" t="s">
        <v>1283</v>
      </c>
      <c r="TX21" s="378" t="s">
        <v>1289</v>
      </c>
      <c r="WM21" s="384" t="s">
        <v>1283</v>
      </c>
      <c r="WN21" s="372" t="s">
        <v>1283</v>
      </c>
      <c r="WO21" s="378" t="s">
        <v>1289</v>
      </c>
      <c r="AAM21" s="402"/>
      <c r="AAR21" s="207" t="s">
        <v>1973</v>
      </c>
      <c r="AAS21" s="207" t="s">
        <v>1862</v>
      </c>
      <c r="AAY21" s="375" t="s">
        <v>526</v>
      </c>
      <c r="AAZ21" s="375">
        <v>3</v>
      </c>
      <c r="ABA21" s="370" t="s">
        <v>2046</v>
      </c>
    </row>
    <row r="22" spans="12:729" s="370" customFormat="1" ht="15">
      <c r="L22" s="370" t="s">
        <v>67</v>
      </c>
      <c r="M22" s="370">
        <v>22</v>
      </c>
      <c r="N22" s="370" t="s">
        <v>3</v>
      </c>
      <c r="O22" s="370">
        <v>216812</v>
      </c>
      <c r="P22" s="370" t="s">
        <v>16</v>
      </c>
      <c r="Q22" s="370">
        <v>2312</v>
      </c>
      <c r="R22" s="370" t="s">
        <v>104</v>
      </c>
      <c r="S22" s="370" t="s">
        <v>20</v>
      </c>
      <c r="T22" s="370">
        <v>2071</v>
      </c>
      <c r="V22" s="371"/>
      <c r="W22" s="370" t="s">
        <v>1139</v>
      </c>
      <c r="AA22" s="372" t="s">
        <v>435</v>
      </c>
      <c r="AW22" s="373"/>
      <c r="BD22" s="401" t="s">
        <v>1975</v>
      </c>
      <c r="BK22" s="370" t="s">
        <v>1818</v>
      </c>
      <c r="CS22" s="370" t="s">
        <v>328</v>
      </c>
      <c r="DJ22" s="370" t="s">
        <v>435</v>
      </c>
      <c r="DK22" s="370" t="s">
        <v>435</v>
      </c>
      <c r="DN22" s="374"/>
      <c r="DO22" s="375" t="s">
        <v>510</v>
      </c>
      <c r="DP22" s="375">
        <v>3</v>
      </c>
      <c r="DQ22" s="375">
        <f t="shared" si="4"/>
        <v>2</v>
      </c>
      <c r="DR22" s="376"/>
      <c r="DS22" s="376"/>
      <c r="DT22" s="376"/>
      <c r="DU22" s="376"/>
      <c r="DV22" s="376"/>
      <c r="DW22" s="376"/>
      <c r="DY22" s="376"/>
      <c r="DZ22" s="376"/>
      <c r="EA22" s="376"/>
      <c r="EB22" s="376"/>
      <c r="EC22" s="376"/>
      <c r="ED22" s="376"/>
      <c r="EE22" s="376"/>
      <c r="EJ22" t="s">
        <v>591</v>
      </c>
      <c r="EM22" t="s">
        <v>604</v>
      </c>
      <c r="EN22" s="370" t="s">
        <v>604</v>
      </c>
      <c r="EO22" s="370" t="s">
        <v>604</v>
      </c>
      <c r="FF22" s="348"/>
      <c r="FG22" s="375" t="s">
        <v>309</v>
      </c>
      <c r="FH22" s="375" t="str">
        <f>$FM$1</f>
        <v>Sliding_Frame_Type</v>
      </c>
      <c r="FI22" s="379" t="str">
        <f t="shared" ref="FI22:FK22" si="11">$FM$1</f>
        <v>Sliding_Frame_Type</v>
      </c>
      <c r="FJ22" s="379" t="str">
        <f t="shared" si="11"/>
        <v>Sliding_Frame_Type</v>
      </c>
      <c r="FK22" s="379" t="str">
        <f t="shared" si="11"/>
        <v>Sliding_Frame_Type</v>
      </c>
      <c r="FL22" s="380" t="str">
        <f t="shared" si="10"/>
        <v>NAFrameType</v>
      </c>
      <c r="FN22" s="370" t="s">
        <v>317</v>
      </c>
      <c r="FP22" s="370" t="s">
        <v>683</v>
      </c>
      <c r="FR22" s="395" t="s">
        <v>1881</v>
      </c>
      <c r="FS22" s="395" t="s">
        <v>1882</v>
      </c>
      <c r="FT22" s="395" t="s">
        <v>1880</v>
      </c>
      <c r="FU22" s="395" t="s">
        <v>1883</v>
      </c>
      <c r="FV22" s="395" t="s">
        <v>1884</v>
      </c>
      <c r="FW22" s="395" t="s">
        <v>1885</v>
      </c>
      <c r="FX22" s="395" t="s">
        <v>1886</v>
      </c>
      <c r="FY22" s="395" t="s">
        <v>1887</v>
      </c>
      <c r="FZ22" s="395" t="s">
        <v>1929</v>
      </c>
      <c r="GA22" s="395" t="s">
        <v>1888</v>
      </c>
      <c r="GB22" s="395" t="s">
        <v>1889</v>
      </c>
      <c r="GC22" s="395" t="s">
        <v>1890</v>
      </c>
      <c r="GD22" s="395" t="s">
        <v>1906</v>
      </c>
      <c r="GE22" s="395" t="s">
        <v>1907</v>
      </c>
      <c r="GF22" s="395" t="s">
        <v>1891</v>
      </c>
      <c r="GG22" s="395" t="s">
        <v>1892</v>
      </c>
      <c r="GH22" s="395" t="s">
        <v>1895</v>
      </c>
      <c r="GI22" s="395" t="s">
        <v>1896</v>
      </c>
      <c r="GJ22" s="395" t="s">
        <v>1897</v>
      </c>
      <c r="GK22" s="395" t="s">
        <v>1898</v>
      </c>
      <c r="GL22" s="395" t="s">
        <v>1903</v>
      </c>
      <c r="GM22" s="395" t="s">
        <v>1909</v>
      </c>
      <c r="GN22" s="395" t="s">
        <v>1902</v>
      </c>
      <c r="HX22" s="381" t="s">
        <v>760</v>
      </c>
      <c r="HY22" s="381" t="s">
        <v>766</v>
      </c>
      <c r="ID22" t="s">
        <v>1980</v>
      </c>
      <c r="IL22" s="370" t="s">
        <v>1980</v>
      </c>
      <c r="IR22" s="370" t="s">
        <v>1980</v>
      </c>
      <c r="IS22" s="370" t="s">
        <v>1980</v>
      </c>
      <c r="JL22" s="370" t="s">
        <v>396</v>
      </c>
      <c r="KB22" t="s">
        <v>1979</v>
      </c>
      <c r="KC22" t="s">
        <v>1974</v>
      </c>
      <c r="KV22" s="370" t="s">
        <v>350</v>
      </c>
      <c r="LJ22" s="372" t="s">
        <v>506</v>
      </c>
      <c r="LK22" s="372">
        <v>5</v>
      </c>
      <c r="LM22" s="372"/>
      <c r="LX22" s="370" t="s">
        <v>1005</v>
      </c>
      <c r="LY22" s="382" t="s">
        <v>518</v>
      </c>
      <c r="LZ22" s="382" t="s">
        <v>483</v>
      </c>
      <c r="MA22" s="382"/>
      <c r="MB22" s="376"/>
      <c r="MC22" s="376"/>
      <c r="ME22" s="376"/>
      <c r="MF22" s="376"/>
      <c r="MG22" s="376"/>
      <c r="MH22" s="376"/>
      <c r="NN22" s="370" t="s">
        <v>309</v>
      </c>
      <c r="NO22" s="373"/>
      <c r="NP22" s="373"/>
      <c r="NQ22" s="373"/>
      <c r="NR22" s="373"/>
      <c r="NS22" s="373"/>
      <c r="NT22" s="373"/>
      <c r="NU22" s="373"/>
      <c r="NV22" s="373"/>
      <c r="NW22" s="373"/>
      <c r="NX22" s="373"/>
      <c r="NY22" s="373"/>
      <c r="NZ22" s="373"/>
      <c r="OA22" s="373"/>
      <c r="OB22" s="373"/>
      <c r="OD22" s="373"/>
      <c r="OE22" s="373"/>
      <c r="OF22" s="373"/>
      <c r="PU22" s="370" t="s">
        <v>1505</v>
      </c>
      <c r="PV22" s="370" t="s">
        <v>1441</v>
      </c>
      <c r="QL22" s="370" t="s">
        <v>332</v>
      </c>
      <c r="QM22" s="370" t="s">
        <v>332</v>
      </c>
      <c r="RU22" s="370" t="s">
        <v>1203</v>
      </c>
      <c r="SD22" s="370" t="s">
        <v>1226</v>
      </c>
      <c r="SE22" s="370" t="s">
        <v>1226</v>
      </c>
      <c r="TL22" s="372" t="s">
        <v>1284</v>
      </c>
      <c r="TM22" s="384" t="s">
        <v>1284</v>
      </c>
      <c r="WM22" s="384" t="s">
        <v>1284</v>
      </c>
      <c r="WN22" s="372" t="s">
        <v>1284</v>
      </c>
      <c r="AAD22" s="375"/>
      <c r="AAE22" s="375" t="s">
        <v>149</v>
      </c>
      <c r="AAF22" s="375"/>
      <c r="AAG22" s="375"/>
      <c r="AAH22" s="375" t="s">
        <v>153</v>
      </c>
      <c r="AAI22" s="375"/>
      <c r="AAJ22" s="375"/>
      <c r="AAK22" s="375"/>
      <c r="AAL22" s="375" t="s">
        <v>155</v>
      </c>
      <c r="AAM22" s="403"/>
      <c r="AAN22" s="375"/>
      <c r="AAR22" s="207" t="s">
        <v>1111</v>
      </c>
      <c r="AAS22" s="207" t="s">
        <v>1862</v>
      </c>
      <c r="AAY22" s="375" t="s">
        <v>476</v>
      </c>
      <c r="AAZ22" s="375">
        <v>1</v>
      </c>
      <c r="ABA22" t="s">
        <v>2045</v>
      </c>
    </row>
    <row r="23" spans="12:729" s="370" customFormat="1" ht="15">
      <c r="L23" s="370" t="s">
        <v>70</v>
      </c>
      <c r="M23" s="370">
        <v>23</v>
      </c>
      <c r="N23" s="370" t="s">
        <v>8</v>
      </c>
      <c r="O23" s="370">
        <v>216922</v>
      </c>
      <c r="P23" s="370" t="s">
        <v>15</v>
      </c>
      <c r="Q23" s="370">
        <v>2316</v>
      </c>
      <c r="R23" s="370" t="s">
        <v>102</v>
      </c>
      <c r="S23" s="370" t="s">
        <v>28</v>
      </c>
      <c r="T23" s="370">
        <v>2074</v>
      </c>
      <c r="V23" s="371"/>
      <c r="W23" s="370" t="s">
        <v>1090</v>
      </c>
      <c r="AW23" s="373"/>
      <c r="BD23" s="401" t="s">
        <v>1976</v>
      </c>
      <c r="BK23" s="370" t="s">
        <v>1928</v>
      </c>
      <c r="CS23" s="370" t="s">
        <v>411</v>
      </c>
      <c r="DN23" s="374"/>
      <c r="DO23" s="375" t="s">
        <v>520</v>
      </c>
      <c r="DP23" s="375">
        <v>6</v>
      </c>
      <c r="DQ23" s="375">
        <f t="shared" si="4"/>
        <v>3</v>
      </c>
      <c r="DR23" s="376"/>
      <c r="DS23" s="376"/>
      <c r="DT23" s="376"/>
      <c r="DU23" s="376"/>
      <c r="DV23" s="376"/>
      <c r="DW23" s="376"/>
      <c r="DY23" s="376"/>
      <c r="DZ23" s="376"/>
      <c r="EA23" s="376"/>
      <c r="EB23" s="376"/>
      <c r="EC23" s="376"/>
      <c r="ED23" s="376"/>
      <c r="EE23" s="376"/>
      <c r="EJ23" t="s">
        <v>592</v>
      </c>
      <c r="EM23" t="s">
        <v>601</v>
      </c>
      <c r="EN23" s="370" t="s">
        <v>601</v>
      </c>
      <c r="EO23" s="370" t="s">
        <v>601</v>
      </c>
      <c r="FF23" s="395" t="s">
        <v>1817</v>
      </c>
      <c r="FG23" s="375" t="s">
        <v>310</v>
      </c>
      <c r="FH23" s="375" t="str">
        <f>$FN$1</f>
        <v>Fixed_Frame_Type</v>
      </c>
      <c r="FI23" s="379" t="str">
        <f t="shared" ref="FI23:FL23" si="12">$FN$1</f>
        <v>Fixed_Frame_Type</v>
      </c>
      <c r="FJ23" s="379" t="str">
        <f t="shared" si="12"/>
        <v>Fixed_Frame_Type</v>
      </c>
      <c r="FK23" s="379" t="str">
        <f t="shared" si="12"/>
        <v>Fixed_Frame_Type</v>
      </c>
      <c r="FL23" s="380" t="str">
        <f t="shared" si="12"/>
        <v>Fixed_Frame_Type</v>
      </c>
      <c r="FP23" s="370" t="s">
        <v>684</v>
      </c>
      <c r="FR23" s="395" t="s">
        <v>1543</v>
      </c>
      <c r="FS23" s="395" t="s">
        <v>1543</v>
      </c>
      <c r="FT23" s="395" t="s">
        <v>1543</v>
      </c>
      <c r="FU23" s="395" t="s">
        <v>1543</v>
      </c>
      <c r="FV23" s="395" t="s">
        <v>1543</v>
      </c>
      <c r="FW23" s="395" t="s">
        <v>1543</v>
      </c>
      <c r="FX23" s="395" t="s">
        <v>1543</v>
      </c>
      <c r="FY23" s="395" t="s">
        <v>1543</v>
      </c>
      <c r="FZ23" s="395" t="s">
        <v>1543</v>
      </c>
      <c r="GA23" s="395" t="s">
        <v>1543</v>
      </c>
      <c r="GB23" s="395" t="s">
        <v>1543</v>
      </c>
      <c r="GC23" s="395" t="s">
        <v>1543</v>
      </c>
      <c r="GD23" s="395" t="s">
        <v>1543</v>
      </c>
      <c r="GE23" s="395" t="s">
        <v>1543</v>
      </c>
      <c r="GF23" s="395" t="s">
        <v>1543</v>
      </c>
      <c r="GG23" s="395" t="s">
        <v>1543</v>
      </c>
      <c r="GH23" s="395" t="s">
        <v>1543</v>
      </c>
      <c r="GI23" s="395" t="s">
        <v>1543</v>
      </c>
      <c r="GJ23" s="395" t="s">
        <v>1543</v>
      </c>
      <c r="GK23" s="395" t="s">
        <v>1543</v>
      </c>
      <c r="GL23" s="395" t="s">
        <v>1543</v>
      </c>
      <c r="GM23" s="395" t="s">
        <v>1543</v>
      </c>
      <c r="GN23" s="395" t="s">
        <v>1543</v>
      </c>
      <c r="HX23" s="381" t="s">
        <v>1501</v>
      </c>
      <c r="HY23" s="381" t="s">
        <v>761</v>
      </c>
      <c r="HZ23" s="348" t="s">
        <v>2026</v>
      </c>
      <c r="ID23" s="395" t="s">
        <v>1972</v>
      </c>
      <c r="IL23" s="370" t="s">
        <v>1972</v>
      </c>
      <c r="IR23" s="370" t="s">
        <v>1972</v>
      </c>
      <c r="IS23" s="370" t="s">
        <v>1972</v>
      </c>
      <c r="KB23" t="s">
        <v>1980</v>
      </c>
      <c r="KC23" t="s">
        <v>1975</v>
      </c>
      <c r="KV23" s="370" t="s">
        <v>351</v>
      </c>
      <c r="LJ23" s="372" t="s">
        <v>489</v>
      </c>
      <c r="LK23" s="372">
        <v>0</v>
      </c>
      <c r="LM23" s="372"/>
      <c r="LX23" s="370" t="s">
        <v>1006</v>
      </c>
      <c r="LY23" s="382" t="s">
        <v>511</v>
      </c>
      <c r="LZ23" s="382" t="s">
        <v>529</v>
      </c>
      <c r="MA23" s="382"/>
      <c r="MB23" s="376"/>
      <c r="MC23" s="376"/>
      <c r="ME23" s="376"/>
      <c r="MF23" s="376"/>
      <c r="MG23" s="376"/>
      <c r="MH23" s="376"/>
      <c r="NN23" s="370" t="s">
        <v>308</v>
      </c>
      <c r="NO23" s="373"/>
      <c r="NP23" s="373"/>
      <c r="NQ23" s="373"/>
      <c r="NR23" s="373"/>
      <c r="NS23" s="373"/>
      <c r="NT23" s="373"/>
      <c r="NU23" s="373"/>
      <c r="NV23" s="373"/>
      <c r="NW23" s="373"/>
      <c r="NX23" s="373"/>
      <c r="NY23" s="373"/>
      <c r="NZ23" s="373"/>
      <c r="OA23" s="373"/>
      <c r="OB23" s="373"/>
      <c r="OD23" s="373"/>
      <c r="OE23" s="373"/>
      <c r="OF23" s="373"/>
      <c r="RU23" s="370" t="s">
        <v>1202</v>
      </c>
      <c r="SD23" s="370" t="s">
        <v>1246</v>
      </c>
      <c r="SE23" s="370" t="s">
        <v>1246</v>
      </c>
      <c r="TL23" s="372" t="s">
        <v>1338</v>
      </c>
      <c r="TM23" s="384" t="s">
        <v>1338</v>
      </c>
      <c r="WM23" s="384" t="s">
        <v>1338</v>
      </c>
      <c r="WN23" s="372" t="s">
        <v>1338</v>
      </c>
      <c r="AAD23" s="375" t="s">
        <v>1845</v>
      </c>
      <c r="AAE23" s="375" t="s">
        <v>1833</v>
      </c>
      <c r="AAF23" s="375" t="s">
        <v>1834</v>
      </c>
      <c r="AAG23" s="375" t="s">
        <v>1835</v>
      </c>
      <c r="AAH23" s="375" t="s">
        <v>1836</v>
      </c>
      <c r="AAI23" s="375" t="s">
        <v>1837</v>
      </c>
      <c r="AAJ23" s="375" t="s">
        <v>1838</v>
      </c>
      <c r="AAK23" s="375" t="s">
        <v>1839</v>
      </c>
      <c r="AAL23" s="375" t="s">
        <v>1840</v>
      </c>
      <c r="AAM23" s="403" t="s">
        <v>1841</v>
      </c>
      <c r="AAN23" s="375" t="s">
        <v>1842</v>
      </c>
      <c r="AAR23" s="207" t="s">
        <v>1974</v>
      </c>
      <c r="AAS23" s="207" t="s">
        <v>1862</v>
      </c>
      <c r="AAY23" s="375" t="s">
        <v>477</v>
      </c>
      <c r="AAZ23" s="375">
        <v>2</v>
      </c>
      <c r="ABA23" t="s">
        <v>2045</v>
      </c>
    </row>
    <row r="24" spans="12:729" s="370" customFormat="1" ht="15">
      <c r="L24" s="370" t="s">
        <v>72</v>
      </c>
      <c r="M24" s="370">
        <v>24</v>
      </c>
      <c r="N24" s="370" t="s">
        <v>4</v>
      </c>
      <c r="O24" s="370">
        <v>216965</v>
      </c>
      <c r="P24" s="370" t="s">
        <v>9</v>
      </c>
      <c r="Q24" s="370">
        <v>2300</v>
      </c>
      <c r="R24" s="370" t="s">
        <v>105</v>
      </c>
      <c r="S24" s="370" t="s">
        <v>21</v>
      </c>
      <c r="T24" s="370">
        <v>2075</v>
      </c>
      <c r="V24" s="371"/>
      <c r="W24" s="370" t="s">
        <v>213</v>
      </c>
      <c r="AW24" s="373"/>
      <c r="BA24" s="381" t="s">
        <v>1785</v>
      </c>
      <c r="BB24" s="381" t="s">
        <v>1787</v>
      </c>
      <c r="BD24" s="401" t="s">
        <v>1977</v>
      </c>
      <c r="BI24" s="370" t="s">
        <v>306</v>
      </c>
      <c r="BJ24" s="370" t="str">
        <f>BM2</f>
        <v>Hinge</v>
      </c>
      <c r="BK24" s="370" t="s">
        <v>2036</v>
      </c>
      <c r="DN24" s="374"/>
      <c r="DO24" s="375" t="s">
        <v>506</v>
      </c>
      <c r="DP24" s="375">
        <v>8</v>
      </c>
      <c r="DQ24" s="375">
        <f t="shared" si="4"/>
        <v>5</v>
      </c>
      <c r="DR24" s="376"/>
      <c r="DS24" s="376"/>
      <c r="DT24" s="376"/>
      <c r="DU24" s="376"/>
      <c r="DV24" s="376"/>
      <c r="DW24" s="376"/>
      <c r="DY24" s="376"/>
      <c r="DZ24" s="376"/>
      <c r="EA24" s="376"/>
      <c r="EB24" s="376"/>
      <c r="EC24" s="376"/>
      <c r="ED24" s="376"/>
      <c r="EE24" s="376"/>
      <c r="EJ24" t="s">
        <v>593</v>
      </c>
      <c r="EM24" t="s">
        <v>1942</v>
      </c>
      <c r="EN24" t="s">
        <v>1942</v>
      </c>
      <c r="EO24" t="s">
        <v>1942</v>
      </c>
      <c r="FF24" t="s">
        <v>624</v>
      </c>
      <c r="FG24" s="375" t="s">
        <v>338</v>
      </c>
      <c r="FH24" s="375" t="str">
        <f>$FO$1</f>
        <v>NAFrameType</v>
      </c>
      <c r="FI24" s="379" t="str">
        <f t="shared" si="10"/>
        <v>NAFrameType</v>
      </c>
      <c r="FJ24" s="379" t="str">
        <f t="shared" si="10"/>
        <v>NAFrameType</v>
      </c>
      <c r="FK24" s="379" t="str">
        <f t="shared" si="10"/>
        <v>NAFrameType</v>
      </c>
      <c r="FL24" s="380" t="str">
        <f t="shared" si="10"/>
        <v>NAFrameType</v>
      </c>
      <c r="FP24" s="370" t="s">
        <v>685</v>
      </c>
      <c r="HX24" s="381" t="s">
        <v>766</v>
      </c>
      <c r="HY24" s="381" t="s">
        <v>762</v>
      </c>
      <c r="HZ24" s="370" t="s">
        <v>26</v>
      </c>
      <c r="ID24" t="s">
        <v>1981</v>
      </c>
      <c r="IL24" s="370" t="s">
        <v>1981</v>
      </c>
      <c r="IR24" s="370" t="s">
        <v>1981</v>
      </c>
      <c r="IS24" s="370" t="s">
        <v>1981</v>
      </c>
      <c r="KB24" t="s">
        <v>1981</v>
      </c>
      <c r="KC24" t="s">
        <v>1976</v>
      </c>
      <c r="KV24" s="370" t="s">
        <v>352</v>
      </c>
      <c r="LJ24" s="372" t="s">
        <v>511</v>
      </c>
      <c r="LK24" s="372">
        <v>0</v>
      </c>
      <c r="LM24" s="372"/>
      <c r="LX24" s="396" t="s">
        <v>1893</v>
      </c>
      <c r="LY24" s="382" t="s">
        <v>921</v>
      </c>
      <c r="LZ24" s="382" t="s">
        <v>525</v>
      </c>
      <c r="MA24" s="382"/>
      <c r="MB24" s="376"/>
      <c r="MC24" s="376"/>
      <c r="ME24" s="376"/>
      <c r="MF24" s="376"/>
      <c r="MG24" s="376"/>
      <c r="MH24" s="376"/>
      <c r="NN24" s="370" t="s">
        <v>998</v>
      </c>
      <c r="NO24" s="373"/>
      <c r="NP24" s="373"/>
      <c r="NQ24" s="373"/>
      <c r="NR24" s="373"/>
      <c r="NS24" s="373"/>
      <c r="NT24" s="373"/>
      <c r="NU24" s="373"/>
      <c r="NV24" s="373"/>
      <c r="NW24" s="373"/>
      <c r="NX24" s="373"/>
      <c r="NY24" s="373"/>
      <c r="NZ24" s="373"/>
      <c r="OA24" s="373"/>
      <c r="OB24" s="373"/>
      <c r="OD24" s="373"/>
      <c r="OE24" s="373"/>
      <c r="OF24" s="373"/>
      <c r="RU24" s="370" t="s">
        <v>1204</v>
      </c>
      <c r="SD24" s="370" t="s">
        <v>1241</v>
      </c>
      <c r="SE24" s="370" t="s">
        <v>1241</v>
      </c>
      <c r="TL24" s="372" t="s">
        <v>1286</v>
      </c>
      <c r="TM24" s="384" t="s">
        <v>1286</v>
      </c>
      <c r="WM24" s="384" t="s">
        <v>1286</v>
      </c>
      <c r="WN24" s="372" t="s">
        <v>1286</v>
      </c>
      <c r="AAD24" s="375" t="s">
        <v>338</v>
      </c>
      <c r="AAE24" s="375" t="s">
        <v>843</v>
      </c>
      <c r="AAF24" s="375" t="s">
        <v>843</v>
      </c>
      <c r="AAG24" s="379" t="s">
        <v>1982</v>
      </c>
      <c r="AAH24" s="375" t="s">
        <v>334</v>
      </c>
      <c r="AAI24" s="375" t="s">
        <v>843</v>
      </c>
      <c r="AAJ24" s="379" t="s">
        <v>1982</v>
      </c>
      <c r="AAK24" s="375" t="s">
        <v>332</v>
      </c>
      <c r="AAL24" s="375" t="s">
        <v>334</v>
      </c>
      <c r="AAM24" s="403" t="s">
        <v>843</v>
      </c>
      <c r="AAN24" s="375" t="s">
        <v>1982</v>
      </c>
      <c r="AAR24" s="207" t="s">
        <v>1975</v>
      </c>
      <c r="AAS24" s="207" t="s">
        <v>1862</v>
      </c>
      <c r="AAY24" s="375" t="s">
        <v>478</v>
      </c>
      <c r="AAZ24" s="375">
        <v>2</v>
      </c>
      <c r="ABA24" t="s">
        <v>2045</v>
      </c>
    </row>
    <row r="25" spans="12:729" s="370" customFormat="1" ht="15">
      <c r="L25" s="370" t="s">
        <v>99</v>
      </c>
      <c r="M25" s="370">
        <v>26</v>
      </c>
      <c r="N25" s="370" t="s">
        <v>5</v>
      </c>
      <c r="O25" s="370">
        <v>216966</v>
      </c>
      <c r="P25" s="370" t="s">
        <v>10</v>
      </c>
      <c r="Q25" s="370">
        <v>2301</v>
      </c>
      <c r="R25" s="370" t="s">
        <v>106</v>
      </c>
      <c r="S25" s="370" t="s">
        <v>22</v>
      </c>
      <c r="T25" s="370">
        <v>2076</v>
      </c>
      <c r="V25" s="385"/>
      <c r="W25" s="370" t="s">
        <v>214</v>
      </c>
      <c r="AN25" s="370" t="s">
        <v>254</v>
      </c>
      <c r="AW25" s="373"/>
      <c r="BA25" s="363" t="s">
        <v>1799</v>
      </c>
      <c r="BB25" s="348" t="s">
        <v>1798</v>
      </c>
      <c r="BD25" s="401" t="s">
        <v>1978</v>
      </c>
      <c r="BI25" s="370" t="s">
        <v>307</v>
      </c>
      <c r="BJ25" s="370" t="str">
        <f>BM2</f>
        <v>Hinge</v>
      </c>
      <c r="DN25" s="374"/>
      <c r="DO25" s="375" t="s">
        <v>489</v>
      </c>
      <c r="DP25" s="375">
        <v>2</v>
      </c>
      <c r="DQ25" s="375">
        <f t="shared" si="4"/>
        <v>0</v>
      </c>
      <c r="DR25" s="376"/>
      <c r="DS25" s="376"/>
      <c r="DT25" s="376"/>
      <c r="DU25" s="376"/>
      <c r="DV25" s="376"/>
      <c r="DW25" s="376"/>
      <c r="DY25" s="376"/>
      <c r="DZ25" s="376"/>
      <c r="EA25" s="376"/>
      <c r="EB25" s="376"/>
      <c r="EC25" s="376"/>
      <c r="ED25" s="376"/>
      <c r="EE25" s="376"/>
      <c r="EJ25" t="s">
        <v>600</v>
      </c>
      <c r="EM25" t="s">
        <v>1943</v>
      </c>
      <c r="EN25" t="s">
        <v>1943</v>
      </c>
      <c r="EO25" t="s">
        <v>1943</v>
      </c>
      <c r="FF25" s="395" t="s">
        <v>1898</v>
      </c>
      <c r="FG25" s="375" t="s">
        <v>998</v>
      </c>
      <c r="FH25" s="375" t="str">
        <f>$FI$1</f>
        <v>Pivot_Hinged_Frame_Type</v>
      </c>
      <c r="FI25" s="379" t="str">
        <f t="shared" ref="FI25:FK25" si="13">$FI$1</f>
        <v>Pivot_Hinged_Frame_Type</v>
      </c>
      <c r="FJ25" s="379" t="str">
        <f t="shared" si="13"/>
        <v>Pivot_Hinged_Frame_Type</v>
      </c>
      <c r="FK25" s="379" t="str">
        <f t="shared" si="13"/>
        <v>Pivot_Hinged_Frame_Type</v>
      </c>
      <c r="FL25" s="380" t="str">
        <f t="shared" si="10"/>
        <v>NAFrameType</v>
      </c>
      <c r="FP25" s="370" t="s">
        <v>686</v>
      </c>
      <c r="HX25" s="381" t="s">
        <v>761</v>
      </c>
      <c r="HY25" s="381" t="s">
        <v>763</v>
      </c>
      <c r="ID25" s="395" t="s">
        <v>332</v>
      </c>
      <c r="IL25" s="370" t="s">
        <v>332</v>
      </c>
      <c r="IR25" s="370" t="s">
        <v>332</v>
      </c>
      <c r="IS25" s="370" t="s">
        <v>332</v>
      </c>
      <c r="KC25" t="s">
        <v>1977</v>
      </c>
      <c r="KV25" s="370" t="s">
        <v>353</v>
      </c>
      <c r="LJ25" s="372" t="s">
        <v>496</v>
      </c>
      <c r="LK25" s="372">
        <v>0</v>
      </c>
      <c r="LM25" s="372"/>
      <c r="LX25" s="370" t="s">
        <v>1013</v>
      </c>
      <c r="LY25" s="382" t="s">
        <v>920</v>
      </c>
      <c r="LZ25" s="382"/>
      <c r="MA25" s="376"/>
      <c r="MB25" s="376"/>
      <c r="MC25" s="376"/>
      <c r="ME25" s="376"/>
      <c r="MF25" s="376"/>
      <c r="MG25" s="376"/>
      <c r="MH25" s="376"/>
      <c r="NN25" s="35" t="s">
        <v>1818</v>
      </c>
      <c r="NO25" s="373"/>
      <c r="NP25" s="373"/>
      <c r="NQ25" s="373"/>
      <c r="NR25" s="373"/>
      <c r="NS25" s="373"/>
      <c r="NT25" s="373"/>
      <c r="NU25" s="373"/>
      <c r="NV25" s="373"/>
      <c r="NW25" s="373"/>
      <c r="NX25" s="373"/>
      <c r="NY25" s="373"/>
      <c r="NZ25" s="373"/>
      <c r="OA25" s="373"/>
      <c r="OB25" s="373"/>
      <c r="OD25" s="373"/>
      <c r="OE25" s="373"/>
      <c r="OF25" s="373"/>
      <c r="RU25" s="370" t="s">
        <v>1182</v>
      </c>
      <c r="SD25" s="370" t="s">
        <v>1247</v>
      </c>
      <c r="SE25" s="370" t="s">
        <v>1247</v>
      </c>
      <c r="TL25" s="372" t="s">
        <v>1339</v>
      </c>
      <c r="TM25" s="384" t="s">
        <v>1339</v>
      </c>
      <c r="WM25" s="384" t="s">
        <v>1339</v>
      </c>
      <c r="WN25" s="372" t="s">
        <v>1339</v>
      </c>
      <c r="AAD25" s="375"/>
      <c r="AAE25" s="207" t="s">
        <v>332</v>
      </c>
      <c r="AAF25" s="375" t="s">
        <v>1982</v>
      </c>
      <c r="AAG25" s="379" t="s">
        <v>330</v>
      </c>
      <c r="AAH25" s="207" t="s">
        <v>333</v>
      </c>
      <c r="AAI25" s="375" t="s">
        <v>1982</v>
      </c>
      <c r="AAJ25" s="379" t="s">
        <v>330</v>
      </c>
      <c r="AAK25" s="375" t="s">
        <v>328</v>
      </c>
      <c r="AAL25" s="375" t="s">
        <v>333</v>
      </c>
      <c r="AAM25" s="403" t="s">
        <v>1982</v>
      </c>
      <c r="AAN25" s="375" t="s">
        <v>330</v>
      </c>
      <c r="AAR25" s="207" t="s">
        <v>1976</v>
      </c>
      <c r="AAS25" s="207" t="s">
        <v>1862</v>
      </c>
      <c r="AAY25" s="375" t="s">
        <v>479</v>
      </c>
      <c r="AAZ25" s="375">
        <v>2</v>
      </c>
      <c r="ABA25" t="s">
        <v>2045</v>
      </c>
    </row>
    <row r="26" spans="12:729" ht="15">
      <c r="L26" t="s">
        <v>101</v>
      </c>
      <c r="M26">
        <v>27</v>
      </c>
      <c r="N26" t="s">
        <v>6</v>
      </c>
      <c r="O26">
        <v>216967</v>
      </c>
      <c r="P26" t="s">
        <v>11</v>
      </c>
      <c r="Q26">
        <v>2302</v>
      </c>
      <c r="R26" t="s">
        <v>107</v>
      </c>
      <c r="S26" t="s">
        <v>69</v>
      </c>
      <c r="T26">
        <v>2077</v>
      </c>
      <c r="V26" s="1"/>
      <c r="W26" t="s">
        <v>1091</v>
      </c>
      <c r="AN26" t="s">
        <v>267</v>
      </c>
      <c r="AW26" s="36"/>
      <c r="BA26" s="363" t="s">
        <v>995</v>
      </c>
      <c r="BB26" s="348" t="s">
        <v>1794</v>
      </c>
      <c r="BD26" s="401" t="s">
        <v>1979</v>
      </c>
      <c r="BI26" t="s">
        <v>308</v>
      </c>
      <c r="BJ26" t="str">
        <f>BM2</f>
        <v>Hinge</v>
      </c>
      <c r="DN26" s="112"/>
      <c r="DO26" s="207" t="s">
        <v>511</v>
      </c>
      <c r="DP26" s="207">
        <v>2</v>
      </c>
      <c r="DQ26" s="207">
        <f t="shared" si="4"/>
        <v>0</v>
      </c>
      <c r="EJ26" t="s">
        <v>595</v>
      </c>
      <c r="EM26" s="394" t="s">
        <v>1933</v>
      </c>
      <c r="EN26" t="s">
        <v>1933</v>
      </c>
      <c r="EO26" t="s">
        <v>1933</v>
      </c>
      <c r="FF26" t="s">
        <v>625</v>
      </c>
      <c r="FP26" t="s">
        <v>687</v>
      </c>
      <c r="HX26" s="381" t="s">
        <v>762</v>
      </c>
      <c r="ID26" s="395" t="s">
        <v>328</v>
      </c>
      <c r="IL26" s="370" t="s">
        <v>328</v>
      </c>
      <c r="IN26" s="370"/>
      <c r="IR26" s="370" t="s">
        <v>328</v>
      </c>
      <c r="IS26" s="370" t="s">
        <v>328</v>
      </c>
      <c r="KC26" t="s">
        <v>1978</v>
      </c>
      <c r="KV26" t="s">
        <v>354</v>
      </c>
      <c r="LJ26" t="s">
        <v>500</v>
      </c>
      <c r="LK26">
        <v>0</v>
      </c>
      <c r="LX26" s="370" t="s">
        <v>1014</v>
      </c>
      <c r="LY26" s="194" t="s">
        <v>927</v>
      </c>
      <c r="MD26" s="387"/>
      <c r="ME26" s="387" t="s">
        <v>1546</v>
      </c>
      <c r="MF26" s="387" t="s">
        <v>869</v>
      </c>
      <c r="MG26" s="387" t="s">
        <v>1783</v>
      </c>
      <c r="NN26" s="35" t="s">
        <v>1819</v>
      </c>
      <c r="NO26" s="36"/>
      <c r="NP26" s="36"/>
      <c r="NQ26" s="36"/>
      <c r="NR26" s="36"/>
      <c r="NS26" s="36"/>
      <c r="NT26" s="36"/>
      <c r="NU26" s="36"/>
      <c r="NV26" s="36"/>
      <c r="NW26" s="36"/>
      <c r="NX26" s="36"/>
      <c r="NY26" s="36"/>
      <c r="NZ26" s="36"/>
      <c r="OA26" s="36"/>
      <c r="OB26" s="36"/>
      <c r="OC26" s="36"/>
      <c r="OD26" s="36"/>
      <c r="OE26" s="36"/>
      <c r="RU26" t="s">
        <v>1200</v>
      </c>
      <c r="SD26" t="s">
        <v>1229</v>
      </c>
      <c r="SE26" t="s">
        <v>1229</v>
      </c>
      <c r="TL26" s="35" t="s">
        <v>1340</v>
      </c>
      <c r="TM26" s="212" t="s">
        <v>1340</v>
      </c>
      <c r="WM26" s="212" t="s">
        <v>1340</v>
      </c>
      <c r="WN26" s="35" t="s">
        <v>1340</v>
      </c>
      <c r="AAD26" s="207"/>
      <c r="AAE26" s="207"/>
      <c r="AAF26" s="375" t="s">
        <v>330</v>
      </c>
      <c r="AAG26" s="214" t="s">
        <v>332</v>
      </c>
      <c r="AAH26" s="207" t="s">
        <v>332</v>
      </c>
      <c r="AAI26" s="375" t="s">
        <v>330</v>
      </c>
      <c r="AAJ26" s="214" t="s">
        <v>1844</v>
      </c>
      <c r="AAK26" s="207"/>
      <c r="AAL26" s="207" t="s">
        <v>332</v>
      </c>
      <c r="AAM26" s="404" t="s">
        <v>330</v>
      </c>
      <c r="AAN26" s="375" t="s">
        <v>332</v>
      </c>
      <c r="AAR26" s="207" t="s">
        <v>1977</v>
      </c>
      <c r="AAS26" s="207" t="s">
        <v>1862</v>
      </c>
      <c r="AAY26" s="207" t="s">
        <v>480</v>
      </c>
      <c r="AAZ26" s="207">
        <v>2</v>
      </c>
      <c r="ABA26" t="s">
        <v>2045</v>
      </c>
    </row>
    <row r="27" spans="12:729" ht="15">
      <c r="L27" t="s">
        <v>74</v>
      </c>
      <c r="M27">
        <v>501</v>
      </c>
      <c r="N27" t="s">
        <v>7</v>
      </c>
      <c r="O27">
        <v>216968</v>
      </c>
      <c r="P27" t="s">
        <v>12</v>
      </c>
      <c r="Q27">
        <v>2303</v>
      </c>
      <c r="R27" t="s">
        <v>108</v>
      </c>
      <c r="S27" t="s">
        <v>28</v>
      </c>
      <c r="T27">
        <v>2072</v>
      </c>
      <c r="V27" s="1"/>
      <c r="W27" t="s">
        <v>215</v>
      </c>
      <c r="AN27" t="s">
        <v>269</v>
      </c>
      <c r="AW27" s="36"/>
      <c r="BA27" s="363" t="s">
        <v>1789</v>
      </c>
      <c r="BB27" s="348" t="s">
        <v>1790</v>
      </c>
      <c r="BD27" s="401" t="s">
        <v>1980</v>
      </c>
      <c r="BI27" t="s">
        <v>309</v>
      </c>
      <c r="BJ27" t="str">
        <f>BM2</f>
        <v>Hinge</v>
      </c>
      <c r="DN27" s="112"/>
      <c r="DO27" s="207" t="s">
        <v>496</v>
      </c>
      <c r="DP27" s="207">
        <v>3</v>
      </c>
      <c r="DQ27" s="207">
        <f t="shared" si="4"/>
        <v>0</v>
      </c>
      <c r="EJ27" t="s">
        <v>596</v>
      </c>
      <c r="EM27" s="394" t="s">
        <v>1877</v>
      </c>
      <c r="EN27" t="s">
        <v>1877</v>
      </c>
      <c r="EO27" t="s">
        <v>1877</v>
      </c>
      <c r="FF27" t="s">
        <v>316</v>
      </c>
      <c r="FP27" t="s">
        <v>688</v>
      </c>
      <c r="HX27" s="381" t="s">
        <v>763</v>
      </c>
      <c r="ID27" s="395"/>
      <c r="KC27" t="s">
        <v>1979</v>
      </c>
      <c r="LJ27" t="s">
        <v>497</v>
      </c>
      <c r="LK27">
        <v>0</v>
      </c>
      <c r="LX27" s="194" t="s">
        <v>1019</v>
      </c>
      <c r="LY27" s="194" t="s">
        <v>926</v>
      </c>
      <c r="MD27" s="388" t="s">
        <v>882</v>
      </c>
      <c r="ME27" s="194" t="str">
        <f>ME2</f>
        <v>MountingMethodIN</v>
      </c>
      <c r="MF27" s="194" t="str">
        <f>ME2</f>
        <v>MountingMethodIN</v>
      </c>
      <c r="MG27" s="194" t="str">
        <f>ME17</f>
        <v>MountingMethodAirIN</v>
      </c>
      <c r="NN27" t="s">
        <v>1928</v>
      </c>
      <c r="RU27" t="s">
        <v>1199</v>
      </c>
      <c r="SD27" t="s">
        <v>1244</v>
      </c>
      <c r="SE27" t="s">
        <v>1244</v>
      </c>
      <c r="TL27" s="35" t="s">
        <v>1288</v>
      </c>
      <c r="TM27" s="212" t="s">
        <v>1288</v>
      </c>
      <c r="WM27" s="212" t="s">
        <v>1288</v>
      </c>
      <c r="WN27" s="35" t="s">
        <v>1288</v>
      </c>
      <c r="AAD27" s="207"/>
      <c r="AAE27" s="207"/>
      <c r="AAF27" s="207" t="s">
        <v>332</v>
      </c>
      <c r="AAG27" s="375"/>
      <c r="AAH27" s="207" t="s">
        <v>328</v>
      </c>
      <c r="AAI27" s="207" t="s">
        <v>1844</v>
      </c>
      <c r="AAJ27" s="214" t="s">
        <v>332</v>
      </c>
      <c r="AAK27" s="207"/>
      <c r="AAL27" s="207" t="s">
        <v>328</v>
      </c>
      <c r="AAM27" s="404" t="s">
        <v>332</v>
      </c>
      <c r="AAN27" s="207"/>
      <c r="AAR27" s="207" t="s">
        <v>1978</v>
      </c>
      <c r="AAS27" s="207" t="s">
        <v>1862</v>
      </c>
      <c r="AAY27" s="207" t="s">
        <v>1956</v>
      </c>
      <c r="AAZ27" s="207">
        <v>1</v>
      </c>
      <c r="ABA27" t="s">
        <v>2045</v>
      </c>
    </row>
    <row r="28" spans="12:729" ht="15">
      <c r="L28" t="s">
        <v>76</v>
      </c>
      <c r="M28">
        <v>520</v>
      </c>
      <c r="P28" t="s">
        <v>13</v>
      </c>
      <c r="Q28">
        <v>2304</v>
      </c>
      <c r="R28" t="s">
        <v>109</v>
      </c>
      <c r="S28" t="s">
        <v>21</v>
      </c>
      <c r="T28">
        <v>2073</v>
      </c>
      <c r="V28" s="90"/>
      <c r="W28" t="s">
        <v>1092</v>
      </c>
      <c r="AA28" s="189" t="s">
        <v>246</v>
      </c>
      <c r="AW28" s="36"/>
      <c r="BA28" s="363"/>
      <c r="BB28" s="348"/>
      <c r="BD28" s="401" t="s">
        <v>1981</v>
      </c>
      <c r="BI28" t="s">
        <v>310</v>
      </c>
      <c r="BJ28" t="str">
        <f>BN2</f>
        <v>HingeNA</v>
      </c>
      <c r="DN28" s="112"/>
      <c r="DO28" s="207" t="s">
        <v>500</v>
      </c>
      <c r="DP28" s="207">
        <v>3</v>
      </c>
      <c r="DQ28" s="207">
        <f t="shared" si="4"/>
        <v>0</v>
      </c>
      <c r="EJ28" t="s">
        <v>1809</v>
      </c>
      <c r="EM28" t="s">
        <v>1878</v>
      </c>
      <c r="EN28" t="s">
        <v>1878</v>
      </c>
      <c r="EO28" t="s">
        <v>1878</v>
      </c>
      <c r="FF28" t="s">
        <v>626</v>
      </c>
      <c r="FP28" t="s">
        <v>689</v>
      </c>
      <c r="HX28" s="348" t="s">
        <v>1793</v>
      </c>
      <c r="KC28" t="s">
        <v>1980</v>
      </c>
      <c r="LJ28" t="s">
        <v>490</v>
      </c>
      <c r="LK28">
        <v>0</v>
      </c>
      <c r="LX28" s="194" t="s">
        <v>1024</v>
      </c>
      <c r="LY28" s="194" t="s">
        <v>516</v>
      </c>
      <c r="MD28" s="389" t="s">
        <v>867</v>
      </c>
      <c r="ME28" s="194" t="str">
        <f>MF2</f>
        <v>MountingMethodOUT</v>
      </c>
      <c r="MF28" s="194" t="str">
        <f>MF2</f>
        <v>MountingMethodOUT</v>
      </c>
      <c r="MG28" s="194" t="str">
        <f>MF17</f>
        <v>MountingMethodAirOUT</v>
      </c>
      <c r="NN28" s="370" t="s">
        <v>2036</v>
      </c>
      <c r="RU28" t="s">
        <v>1198</v>
      </c>
      <c r="SD28" t="s">
        <v>1245</v>
      </c>
      <c r="SE28" t="s">
        <v>1245</v>
      </c>
      <c r="TL28" s="35" t="s">
        <v>1289</v>
      </c>
      <c r="TM28" s="212" t="s">
        <v>1289</v>
      </c>
      <c r="WM28" s="212" t="s">
        <v>1289</v>
      </c>
      <c r="WN28" s="35" t="s">
        <v>1289</v>
      </c>
      <c r="AAD28" s="207"/>
      <c r="AAE28" s="375"/>
      <c r="AAF28" s="207"/>
      <c r="AAG28" s="207"/>
      <c r="AAH28" s="375"/>
      <c r="AAI28" s="207" t="s">
        <v>332</v>
      </c>
      <c r="AAJ28" s="379"/>
      <c r="AAK28" s="207"/>
      <c r="AAL28" s="207"/>
      <c r="AAM28" s="404"/>
      <c r="AAN28" s="207"/>
      <c r="AAR28" s="207" t="s">
        <v>1979</v>
      </c>
      <c r="AAS28" s="207" t="s">
        <v>1862</v>
      </c>
      <c r="AAY28" s="207" t="s">
        <v>1957</v>
      </c>
      <c r="AAZ28" s="207">
        <v>1</v>
      </c>
      <c r="ABA28" t="s">
        <v>2045</v>
      </c>
    </row>
    <row r="29" spans="12:729" ht="15">
      <c r="L29" t="s">
        <v>19</v>
      </c>
      <c r="M29">
        <v>525</v>
      </c>
      <c r="P29" t="s">
        <v>14</v>
      </c>
      <c r="Q29">
        <v>2305</v>
      </c>
      <c r="R29" t="s">
        <v>110</v>
      </c>
      <c r="S29" t="s">
        <v>29</v>
      </c>
      <c r="T29">
        <v>2169</v>
      </c>
      <c r="V29" s="4"/>
      <c r="W29" t="s">
        <v>1129</v>
      </c>
      <c r="AA29" s="189" t="s">
        <v>247</v>
      </c>
      <c r="AW29" s="36"/>
      <c r="BD29" s="394" t="s">
        <v>1983</v>
      </c>
      <c r="BI29" t="s">
        <v>338</v>
      </c>
      <c r="BJ29" t="str">
        <f>BN2</f>
        <v>HingeNA</v>
      </c>
      <c r="DN29" s="112"/>
      <c r="DO29" s="207" t="s">
        <v>497</v>
      </c>
      <c r="DP29" s="207">
        <v>4</v>
      </c>
      <c r="DQ29" s="207">
        <f t="shared" si="4"/>
        <v>0</v>
      </c>
      <c r="EJ29" t="s">
        <v>1808</v>
      </c>
      <c r="FF29" s="370" t="s">
        <v>627</v>
      </c>
      <c r="FP29" t="s">
        <v>690</v>
      </c>
      <c r="HZ29" t="s">
        <v>2025</v>
      </c>
      <c r="KC29" t="s">
        <v>1981</v>
      </c>
      <c r="LJ29" t="s">
        <v>512</v>
      </c>
      <c r="LK29">
        <v>0</v>
      </c>
      <c r="LX29" s="194" t="s">
        <v>1025</v>
      </c>
      <c r="LY29" s="194" t="s">
        <v>519</v>
      </c>
      <c r="MD29" s="390" t="s">
        <v>883</v>
      </c>
      <c r="ME29" s="194" t="str">
        <f>$MG$2</f>
        <v>MountingMethodMS</v>
      </c>
      <c r="MF29" s="194" t="str">
        <f t="shared" ref="MF29:MG29" si="14">$MG$2</f>
        <v>MountingMethodMS</v>
      </c>
      <c r="MG29" s="194" t="str">
        <f t="shared" si="14"/>
        <v>MountingMethodMS</v>
      </c>
      <c r="RU29" t="s">
        <v>1183</v>
      </c>
      <c r="WM29" s="212" t="s">
        <v>1325</v>
      </c>
      <c r="WN29" s="35" t="s">
        <v>1290</v>
      </c>
      <c r="AAD29" s="207"/>
      <c r="AAE29" s="207"/>
      <c r="AAF29" s="207"/>
      <c r="AAG29" s="207"/>
      <c r="AAH29" s="207"/>
      <c r="AAI29" s="207"/>
      <c r="AAJ29" s="207"/>
      <c r="AAK29" s="207"/>
      <c r="AAL29" s="207"/>
      <c r="AAM29" s="404"/>
      <c r="AAN29" s="207"/>
      <c r="AAR29" s="207" t="s">
        <v>1980</v>
      </c>
      <c r="AAS29" s="207" t="s">
        <v>1862</v>
      </c>
      <c r="AAY29" s="207" t="s">
        <v>1958</v>
      </c>
      <c r="AAZ29" s="207">
        <v>2</v>
      </c>
      <c r="ABA29" t="s">
        <v>2045</v>
      </c>
    </row>
    <row r="30" spans="12:729" ht="15">
      <c r="L30" t="s">
        <v>81</v>
      </c>
      <c r="M30">
        <v>657</v>
      </c>
      <c r="P30" t="s">
        <v>16</v>
      </c>
      <c r="Q30">
        <v>2311</v>
      </c>
      <c r="R30" t="s">
        <v>112</v>
      </c>
      <c r="S30" t="s">
        <v>23</v>
      </c>
      <c r="T30">
        <v>2170</v>
      </c>
      <c r="V30" s="1"/>
      <c r="W30" t="s">
        <v>1140</v>
      </c>
      <c r="AA30" s="189" t="s">
        <v>248</v>
      </c>
      <c r="AW30" s="36"/>
      <c r="BD30" s="394" t="s">
        <v>1984</v>
      </c>
      <c r="BI30" t="s">
        <v>998</v>
      </c>
      <c r="BJ30" t="s">
        <v>1000</v>
      </c>
      <c r="DJ30" t="s">
        <v>246</v>
      </c>
      <c r="DK30" t="s">
        <v>246</v>
      </c>
      <c r="DN30" s="112"/>
      <c r="DO30" s="207" t="s">
        <v>490</v>
      </c>
      <c r="DP30" s="207">
        <v>4</v>
      </c>
      <c r="DQ30" s="207">
        <f t="shared" si="4"/>
        <v>0</v>
      </c>
      <c r="EJ30" t="s">
        <v>599</v>
      </c>
      <c r="FF30" s="370" t="s">
        <v>628</v>
      </c>
      <c r="FP30" t="s">
        <v>691</v>
      </c>
      <c r="GE30" s="407" t="s">
        <v>2034</v>
      </c>
      <c r="HZ30" t="s">
        <v>1972</v>
      </c>
      <c r="ID30" t="s">
        <v>1911</v>
      </c>
      <c r="KC30" t="s">
        <v>1983</v>
      </c>
      <c r="LJ30" t="s">
        <v>491</v>
      </c>
      <c r="LK30">
        <v>0</v>
      </c>
      <c r="LX30" s="194" t="s">
        <v>1020</v>
      </c>
      <c r="WM30" s="212" t="s">
        <v>1326</v>
      </c>
      <c r="WN30" s="35" t="s">
        <v>1291</v>
      </c>
      <c r="AAD30" s="207"/>
      <c r="AAE30" s="207"/>
      <c r="AAF30" s="207"/>
      <c r="AAG30" s="207"/>
      <c r="AAH30" s="207"/>
      <c r="AAI30" s="207"/>
      <c r="AAJ30" s="207"/>
      <c r="AAK30" s="207"/>
      <c r="AAL30" s="207"/>
      <c r="AAM30" s="404"/>
      <c r="AAN30" s="207"/>
      <c r="AAR30" s="207" t="s">
        <v>1981</v>
      </c>
      <c r="AAS30" s="207" t="s">
        <v>1862</v>
      </c>
      <c r="AAY30" s="207" t="s">
        <v>1959</v>
      </c>
      <c r="AAZ30" s="207">
        <v>2</v>
      </c>
      <c r="ABA30" t="s">
        <v>2045</v>
      </c>
    </row>
    <row r="31" spans="12:729" ht="15">
      <c r="L31" t="s">
        <v>84</v>
      </c>
      <c r="M31">
        <v>658</v>
      </c>
      <c r="P31" t="s">
        <v>15</v>
      </c>
      <c r="Q31">
        <v>2314</v>
      </c>
      <c r="R31" t="s">
        <v>111</v>
      </c>
      <c r="S31" t="s">
        <v>24</v>
      </c>
      <c r="T31">
        <v>2171</v>
      </c>
      <c r="V31" s="1"/>
      <c r="W31" t="s">
        <v>216</v>
      </c>
      <c r="AA31" s="189" t="s">
        <v>249</v>
      </c>
      <c r="AW31" s="36"/>
      <c r="BD31" s="394" t="s">
        <v>1985</v>
      </c>
      <c r="DJ31" t="s">
        <v>247</v>
      </c>
      <c r="DK31" t="s">
        <v>247</v>
      </c>
      <c r="DN31" s="112"/>
      <c r="DO31" s="207" t="s">
        <v>512</v>
      </c>
      <c r="DP31" s="207">
        <v>4</v>
      </c>
      <c r="DQ31" s="207">
        <f t="shared" si="4"/>
        <v>0</v>
      </c>
      <c r="FF31" s="370" t="s">
        <v>629</v>
      </c>
      <c r="FP31" t="s">
        <v>692</v>
      </c>
      <c r="GE31" s="395" t="s">
        <v>1543</v>
      </c>
      <c r="HZ31" t="s">
        <v>1973</v>
      </c>
      <c r="ID31" s="370" t="s">
        <v>332</v>
      </c>
      <c r="KC31" t="s">
        <v>1984</v>
      </c>
      <c r="LJ31" t="s">
        <v>513</v>
      </c>
      <c r="LK31">
        <v>0</v>
      </c>
      <c r="LX31" s="194" t="s">
        <v>1021</v>
      </c>
      <c r="WM31" s="212" t="s">
        <v>1327</v>
      </c>
      <c r="WN31" s="35" t="s">
        <v>1292</v>
      </c>
      <c r="AAD31" s="207"/>
      <c r="AAE31" s="207"/>
      <c r="AAF31" s="207"/>
      <c r="AAG31" s="207"/>
      <c r="AAH31" s="207"/>
      <c r="AAI31" s="207"/>
      <c r="AAJ31" s="207"/>
      <c r="AAK31" s="207"/>
      <c r="AAL31" s="207"/>
      <c r="AAM31" s="404"/>
      <c r="AAN31" s="207"/>
      <c r="AAR31" s="189" t="s">
        <v>1983</v>
      </c>
      <c r="AAS31" s="404" t="s">
        <v>1862</v>
      </c>
      <c r="AAY31" s="207" t="s">
        <v>1960</v>
      </c>
      <c r="AAZ31" s="207">
        <v>2</v>
      </c>
      <c r="ABA31" t="s">
        <v>2045</v>
      </c>
    </row>
    <row r="32" spans="12:729" ht="15">
      <c r="L32" t="s">
        <v>87</v>
      </c>
      <c r="M32">
        <v>659</v>
      </c>
      <c r="S32" t="s">
        <v>78</v>
      </c>
      <c r="T32">
        <v>2172</v>
      </c>
      <c r="V32" s="1"/>
      <c r="W32" t="s">
        <v>1089</v>
      </c>
      <c r="AA32" s="189" t="s">
        <v>250</v>
      </c>
      <c r="AW32" s="36"/>
      <c r="BD32" s="394" t="s">
        <v>1986</v>
      </c>
      <c r="DJ32" t="s">
        <v>248</v>
      </c>
      <c r="DK32" t="s">
        <v>248</v>
      </c>
      <c r="DN32" s="112"/>
      <c r="DO32" s="207" t="s">
        <v>491</v>
      </c>
      <c r="DP32" s="207">
        <v>6</v>
      </c>
      <c r="DQ32" s="207">
        <f t="shared" si="4"/>
        <v>0</v>
      </c>
      <c r="FF32" s="396" t="s">
        <v>1888</v>
      </c>
      <c r="FP32" t="s">
        <v>693</v>
      </c>
      <c r="ID32" s="370"/>
      <c r="KC32" t="s">
        <v>1985</v>
      </c>
      <c r="LJ32" t="s">
        <v>492</v>
      </c>
      <c r="LK32">
        <v>0</v>
      </c>
      <c r="LX32" s="194" t="s">
        <v>1007</v>
      </c>
      <c r="WM32" s="212" t="s">
        <v>1328</v>
      </c>
      <c r="WN32" s="35" t="s">
        <v>1293</v>
      </c>
      <c r="AAD32" s="207"/>
      <c r="AAE32" s="207"/>
      <c r="AAF32" s="207"/>
      <c r="AAG32" s="207"/>
      <c r="AAH32" s="207"/>
      <c r="AAI32" s="207"/>
      <c r="AAJ32" s="207"/>
      <c r="AAK32" s="207"/>
      <c r="AAL32" s="207"/>
      <c r="AAM32" s="404"/>
      <c r="AAN32" s="207"/>
      <c r="AAR32" s="189" t="s">
        <v>1984</v>
      </c>
      <c r="AAS32" s="404" t="s">
        <v>1862</v>
      </c>
      <c r="AAY32" s="207" t="s">
        <v>1961</v>
      </c>
      <c r="AAZ32" s="207">
        <v>2</v>
      </c>
      <c r="ABA32" t="s">
        <v>2045</v>
      </c>
    </row>
    <row r="33" spans="12:729" ht="15">
      <c r="L33" t="s">
        <v>90</v>
      </c>
      <c r="M33">
        <v>660</v>
      </c>
      <c r="S33" t="s">
        <v>80</v>
      </c>
      <c r="T33">
        <v>2173</v>
      </c>
      <c r="V33" s="1"/>
      <c r="AA33" s="189" t="s">
        <v>251</v>
      </c>
      <c r="AW33" s="36"/>
      <c r="BD33" s="394" t="s">
        <v>1806</v>
      </c>
      <c r="DJ33" t="s">
        <v>249</v>
      </c>
      <c r="DK33" t="s">
        <v>249</v>
      </c>
      <c r="DN33" s="112"/>
      <c r="DO33" s="207" t="s">
        <v>513</v>
      </c>
      <c r="DP33" s="207">
        <v>6</v>
      </c>
      <c r="DQ33" s="207">
        <f t="shared" si="4"/>
        <v>0</v>
      </c>
      <c r="FF33" s="396" t="s">
        <v>1889</v>
      </c>
      <c r="FJ33" t="s">
        <v>882</v>
      </c>
      <c r="FK33" t="s">
        <v>882</v>
      </c>
      <c r="FP33" t="s">
        <v>694</v>
      </c>
      <c r="ID33" s="370"/>
      <c r="KC33" t="s">
        <v>1986</v>
      </c>
      <c r="LJ33" t="s">
        <v>493</v>
      </c>
      <c r="LK33">
        <v>0</v>
      </c>
      <c r="LX33" s="194" t="s">
        <v>1008</v>
      </c>
      <c r="WM33" s="212" t="s">
        <v>1329</v>
      </c>
      <c r="WN33" s="35" t="s">
        <v>1294</v>
      </c>
      <c r="AAD33" s="207"/>
      <c r="AAE33" s="207"/>
      <c r="AAF33" s="207"/>
      <c r="AAG33" s="207"/>
      <c r="AAH33" s="207"/>
      <c r="AAI33" s="207"/>
      <c r="AAJ33" s="207"/>
      <c r="AAK33" s="207"/>
      <c r="AAL33" s="207"/>
      <c r="AAM33" s="207"/>
      <c r="AAN33" s="207"/>
      <c r="AAR33" s="189" t="s">
        <v>1985</v>
      </c>
      <c r="AAS33" s="404" t="s">
        <v>1862</v>
      </c>
      <c r="AAY33" s="207" t="s">
        <v>1962</v>
      </c>
      <c r="AAZ33" s="207">
        <v>1</v>
      </c>
      <c r="ABA33" t="s">
        <v>2045</v>
      </c>
    </row>
    <row r="34" spans="12:729" ht="15">
      <c r="L34" t="s">
        <v>92</v>
      </c>
      <c r="M34">
        <v>663</v>
      </c>
      <c r="S34" t="s">
        <v>83</v>
      </c>
      <c r="T34">
        <v>2174</v>
      </c>
      <c r="V34" s="1"/>
      <c r="AA34" s="189" t="s">
        <v>252</v>
      </c>
      <c r="AW34" s="36"/>
      <c r="BA34" s="348" t="s">
        <v>1786</v>
      </c>
      <c r="BB34" s="348" t="s">
        <v>1788</v>
      </c>
      <c r="DJ34" t="s">
        <v>250</v>
      </c>
      <c r="DK34" t="s">
        <v>250</v>
      </c>
      <c r="DN34" s="112"/>
      <c r="DO34" s="207" t="s">
        <v>492</v>
      </c>
      <c r="DP34" s="207">
        <v>8</v>
      </c>
      <c r="DQ34" s="207">
        <f t="shared" si="4"/>
        <v>0</v>
      </c>
      <c r="FF34" s="370" t="s">
        <v>630</v>
      </c>
      <c r="FH34" s="35" t="s">
        <v>882</v>
      </c>
      <c r="FJ34" s="35" t="s">
        <v>2058</v>
      </c>
      <c r="FK34" t="s">
        <v>1932</v>
      </c>
      <c r="FP34" t="s">
        <v>695</v>
      </c>
      <c r="ID34" s="370"/>
      <c r="LJ34" t="s">
        <v>494</v>
      </c>
      <c r="LK34">
        <v>0</v>
      </c>
      <c r="LX34" s="194" t="s">
        <v>425</v>
      </c>
      <c r="WM34" s="212" t="s">
        <v>1254</v>
      </c>
      <c r="WN34" s="35" t="s">
        <v>1315</v>
      </c>
      <c r="AAD34" s="207"/>
      <c r="AAE34" s="207"/>
      <c r="AAF34" s="207"/>
      <c r="AAG34" s="207"/>
      <c r="AAH34" s="207"/>
      <c r="AAI34" s="207"/>
      <c r="AAJ34" s="207"/>
      <c r="AAK34" s="207"/>
      <c r="AAL34" s="207"/>
      <c r="AAM34" s="207"/>
      <c r="AAN34" s="207"/>
      <c r="AAR34" s="189" t="s">
        <v>1986</v>
      </c>
      <c r="AAS34" s="404" t="s">
        <v>1862</v>
      </c>
      <c r="AAY34" s="207" t="s">
        <v>1963</v>
      </c>
      <c r="AAZ34" s="207">
        <v>1</v>
      </c>
      <c r="ABA34" t="s">
        <v>2045</v>
      </c>
    </row>
    <row r="35" spans="12:729" ht="15">
      <c r="L35" t="s">
        <v>94</v>
      </c>
      <c r="M35">
        <v>664</v>
      </c>
      <c r="S35" t="s">
        <v>86</v>
      </c>
      <c r="T35">
        <v>2175</v>
      </c>
      <c r="V35" s="1"/>
      <c r="AW35" s="36"/>
      <c r="BA35" s="363" t="s">
        <v>1799</v>
      </c>
      <c r="BB35" s="348" t="s">
        <v>1798</v>
      </c>
      <c r="DJ35" t="s">
        <v>251</v>
      </c>
      <c r="DK35" t="s">
        <v>251</v>
      </c>
      <c r="DN35" s="112"/>
      <c r="DO35" s="207" t="s">
        <v>493</v>
      </c>
      <c r="DP35" s="207">
        <v>6</v>
      </c>
      <c r="DQ35" s="207">
        <f t="shared" si="4"/>
        <v>0</v>
      </c>
      <c r="FF35" s="396" t="s">
        <v>1890</v>
      </c>
      <c r="FH35" s="35" t="s">
        <v>867</v>
      </c>
      <c r="FJ35" t="s">
        <v>2003</v>
      </c>
      <c r="FK35" t="s">
        <v>315</v>
      </c>
      <c r="ID35" s="370"/>
      <c r="LJ35" t="s">
        <v>495</v>
      </c>
      <c r="LK35">
        <v>0</v>
      </c>
      <c r="LX35" s="194" t="s">
        <v>535</v>
      </c>
      <c r="WM35" s="212" t="s">
        <v>1255</v>
      </c>
      <c r="WN35" s="35" t="s">
        <v>1316</v>
      </c>
      <c r="AAD35" s="207"/>
      <c r="AAE35" s="207"/>
      <c r="AAF35" s="207"/>
      <c r="AAG35" s="207"/>
      <c r="AAH35" s="207"/>
      <c r="AAI35" s="207"/>
      <c r="AAJ35" s="207"/>
      <c r="AAK35" s="207"/>
      <c r="AAL35" s="207"/>
      <c r="AAM35" s="207"/>
      <c r="AAN35" s="207"/>
      <c r="AAR35" s="207" t="s">
        <v>554</v>
      </c>
      <c r="AAS35" s="207" t="s">
        <v>1862</v>
      </c>
      <c r="AAY35" s="207" t="s">
        <v>1964</v>
      </c>
      <c r="AAZ35" s="207">
        <v>3</v>
      </c>
      <c r="ABA35" s="370" t="s">
        <v>2046</v>
      </c>
    </row>
    <row r="36" spans="12:729" ht="15">
      <c r="L36" t="s">
        <v>97</v>
      </c>
      <c r="M36">
        <v>665</v>
      </c>
      <c r="S36" t="s">
        <v>89</v>
      </c>
      <c r="T36">
        <v>2176</v>
      </c>
      <c r="V36" s="1"/>
      <c r="AW36" s="36"/>
      <c r="BA36" s="363" t="s">
        <v>995</v>
      </c>
      <c r="BB36" s="348" t="s">
        <v>1794</v>
      </c>
      <c r="DJ36" t="s">
        <v>252</v>
      </c>
      <c r="DK36" t="s">
        <v>252</v>
      </c>
      <c r="DN36" s="112"/>
      <c r="DO36" s="207" t="s">
        <v>495</v>
      </c>
      <c r="DP36" s="207">
        <v>8</v>
      </c>
      <c r="DQ36" s="207">
        <f t="shared" si="4"/>
        <v>0</v>
      </c>
      <c r="FF36" s="370" t="s">
        <v>631</v>
      </c>
      <c r="FH36" s="35" t="s">
        <v>883</v>
      </c>
      <c r="FJ36" s="217" t="s">
        <v>2004</v>
      </c>
      <c r="FK36" t="s">
        <v>323</v>
      </c>
      <c r="ID36" s="370"/>
      <c r="LJ36" t="s">
        <v>521</v>
      </c>
      <c r="LK36">
        <v>0</v>
      </c>
      <c r="LX36" s="194" t="s">
        <v>893</v>
      </c>
      <c r="WM36" s="212" t="s">
        <v>1256</v>
      </c>
      <c r="WN36" s="35" t="s">
        <v>1317</v>
      </c>
      <c r="AAD36" s="207"/>
      <c r="AAE36" s="207"/>
      <c r="AAF36" s="207"/>
      <c r="AAG36" s="207"/>
      <c r="AAH36" s="207"/>
      <c r="AAI36" s="207"/>
      <c r="AAJ36" s="207"/>
      <c r="AAK36" s="207"/>
      <c r="AAL36" s="207"/>
      <c r="AAM36" s="207"/>
      <c r="AAN36" s="207"/>
      <c r="AAR36" s="207"/>
      <c r="AAS36" s="207"/>
      <c r="AAY36" s="207" t="s">
        <v>1965</v>
      </c>
      <c r="AAZ36" s="207">
        <v>3</v>
      </c>
      <c r="ABA36" s="370" t="s">
        <v>2046</v>
      </c>
    </row>
    <row r="37" spans="12:729" ht="15">
      <c r="L37" t="s">
        <v>99</v>
      </c>
      <c r="M37">
        <v>26</v>
      </c>
      <c r="S37" t="s">
        <v>26</v>
      </c>
      <c r="T37">
        <v>2224</v>
      </c>
      <c r="V37" s="1"/>
      <c r="AW37" s="36"/>
      <c r="BA37" s="363" t="s">
        <v>1789</v>
      </c>
      <c r="BB37" s="348" t="s">
        <v>1790</v>
      </c>
      <c r="DN37" s="112"/>
      <c r="DO37" s="207" t="s">
        <v>521</v>
      </c>
      <c r="DP37" s="207">
        <v>8</v>
      </c>
      <c r="DQ37" s="207">
        <f t="shared" si="4"/>
        <v>0</v>
      </c>
      <c r="FF37" s="370" t="s">
        <v>632</v>
      </c>
      <c r="FK37" t="s">
        <v>312</v>
      </c>
      <c r="ID37" s="370"/>
      <c r="KB37" s="370"/>
      <c r="KC37" s="370"/>
      <c r="LJ37" t="s">
        <v>498</v>
      </c>
      <c r="LK37">
        <v>0</v>
      </c>
      <c r="LX37" s="194" t="s">
        <v>539</v>
      </c>
      <c r="WM37" s="212" t="s">
        <v>1257</v>
      </c>
      <c r="WN37" s="35" t="s">
        <v>1318</v>
      </c>
      <c r="AAD37" s="207"/>
      <c r="AAE37" s="207"/>
      <c r="AAF37" s="207"/>
      <c r="AAG37" s="207"/>
      <c r="AAH37" s="207"/>
      <c r="AAI37" s="207"/>
      <c r="AAJ37" s="207"/>
      <c r="AAK37" s="207"/>
      <c r="AAL37" s="207"/>
      <c r="AAM37" s="207"/>
      <c r="AAN37" s="207"/>
      <c r="AAR37" s="207"/>
      <c r="AAS37" s="207"/>
      <c r="AAY37" s="207" t="s">
        <v>481</v>
      </c>
      <c r="AAZ37" s="207">
        <v>1</v>
      </c>
      <c r="ABA37" t="s">
        <v>2045</v>
      </c>
    </row>
    <row r="38" spans="12:729" ht="15">
      <c r="L38" t="s">
        <v>101</v>
      </c>
      <c r="M38">
        <v>27</v>
      </c>
      <c r="S38" t="s">
        <v>113</v>
      </c>
      <c r="T38">
        <v>2225</v>
      </c>
      <c r="V38" s="1"/>
      <c r="AW38" s="36"/>
      <c r="BA38" s="363"/>
      <c r="BB38" s="348"/>
      <c r="BM38" s="370" t="s">
        <v>153</v>
      </c>
      <c r="BN38" s="370" t="s">
        <v>1546</v>
      </c>
      <c r="BO38" s="370" t="s">
        <v>869</v>
      </c>
      <c r="BP38" s="370" t="s">
        <v>870</v>
      </c>
      <c r="BQ38" s="370" t="s">
        <v>1784</v>
      </c>
      <c r="BR38" s="370" t="s">
        <v>1783</v>
      </c>
      <c r="DN38" s="112"/>
      <c r="DO38" s="207" t="s">
        <v>498</v>
      </c>
      <c r="DP38" s="207">
        <v>6</v>
      </c>
      <c r="DQ38" s="207">
        <f t="shared" si="4"/>
        <v>0</v>
      </c>
      <c r="FF38" s="370" t="s">
        <v>633</v>
      </c>
      <c r="FK38" t="s">
        <v>322</v>
      </c>
      <c r="ID38" s="370"/>
      <c r="KB38" s="370" t="s">
        <v>559</v>
      </c>
      <c r="KC38" s="370" t="s">
        <v>1862</v>
      </c>
      <c r="LJ38" t="s">
        <v>522</v>
      </c>
      <c r="LK38">
        <v>0</v>
      </c>
      <c r="LX38" s="194" t="s">
        <v>894</v>
      </c>
      <c r="WM38" s="212" t="s">
        <v>1258</v>
      </c>
      <c r="WN38" s="35" t="s">
        <v>1319</v>
      </c>
      <c r="AAD38" s="207"/>
      <c r="AAE38" s="207"/>
      <c r="AAF38" s="207"/>
      <c r="AAG38" s="207"/>
      <c r="AAH38" s="207"/>
      <c r="AAI38" s="207"/>
      <c r="AAJ38" s="207"/>
      <c r="AAK38" s="207"/>
      <c r="AAL38" s="207"/>
      <c r="AAM38" s="207"/>
      <c r="AAN38" s="207"/>
      <c r="AAR38" s="207"/>
      <c r="AAS38" s="207"/>
      <c r="AAY38" s="207" t="s">
        <v>524</v>
      </c>
      <c r="AAZ38" s="207">
        <v>2</v>
      </c>
      <c r="ABA38" t="s">
        <v>2045</v>
      </c>
    </row>
    <row r="39" spans="12:729" ht="15">
      <c r="L39" t="s">
        <v>103</v>
      </c>
      <c r="M39">
        <v>28</v>
      </c>
      <c r="S39" t="s">
        <v>25</v>
      </c>
      <c r="T39">
        <v>2230</v>
      </c>
      <c r="V39" s="1"/>
      <c r="AW39" s="36"/>
      <c r="BM39" s="370" t="s">
        <v>306</v>
      </c>
      <c r="BN39" s="370"/>
      <c r="BO39" s="370"/>
      <c r="BP39" s="370"/>
      <c r="BQ39" s="370"/>
      <c r="BR39" s="370"/>
      <c r="DN39" s="112"/>
      <c r="DO39" s="207" t="s">
        <v>522</v>
      </c>
      <c r="DP39" s="207">
        <v>8</v>
      </c>
      <c r="DQ39" s="207">
        <f t="shared" si="4"/>
        <v>0</v>
      </c>
      <c r="FF39" s="396" t="s">
        <v>1819</v>
      </c>
      <c r="KB39" s="370" t="s">
        <v>568</v>
      </c>
      <c r="KC39" s="370" t="s">
        <v>1863</v>
      </c>
      <c r="LJ39" t="s">
        <v>476</v>
      </c>
      <c r="LK39">
        <v>0</v>
      </c>
      <c r="LX39" s="194" t="s">
        <v>895</v>
      </c>
      <c r="WM39" s="212" t="s">
        <v>1320</v>
      </c>
      <c r="WN39" s="35" t="s">
        <v>1325</v>
      </c>
      <c r="AAF39" s="207"/>
      <c r="AAG39" s="207"/>
      <c r="AAI39" s="207"/>
      <c r="AAJ39" s="207"/>
      <c r="AAK39" t="s">
        <v>1914</v>
      </c>
      <c r="AAM39" s="207"/>
      <c r="AAN39" s="207"/>
      <c r="AAR39" s="207"/>
      <c r="AAS39" s="207"/>
      <c r="AAY39" s="207" t="s">
        <v>527</v>
      </c>
      <c r="AAZ39" s="207">
        <v>2</v>
      </c>
      <c r="ABA39" t="s">
        <v>2045</v>
      </c>
    </row>
    <row r="40" spans="12:729" ht="15">
      <c r="S40" t="s">
        <v>28</v>
      </c>
      <c r="T40">
        <v>2231</v>
      </c>
      <c r="V40" s="1"/>
      <c r="AW40" s="36"/>
      <c r="BM40" s="370" t="s">
        <v>307</v>
      </c>
      <c r="BN40" s="370"/>
      <c r="BO40" s="370"/>
      <c r="BP40" s="370"/>
      <c r="BQ40" s="370"/>
      <c r="BR40" s="370"/>
      <c r="DN40" s="112"/>
      <c r="DO40" s="207" t="s">
        <v>476</v>
      </c>
      <c r="DP40" s="207">
        <v>1</v>
      </c>
      <c r="DQ40" s="207">
        <f t="shared" si="4"/>
        <v>0</v>
      </c>
      <c r="EJ40" t="s">
        <v>1816</v>
      </c>
      <c r="FF40" s="370" t="s">
        <v>323</v>
      </c>
      <c r="KB40" s="370" t="s">
        <v>1549</v>
      </c>
      <c r="KC40" s="370" t="s">
        <v>1863</v>
      </c>
      <c r="LJ40" t="s">
        <v>477</v>
      </c>
      <c r="LK40">
        <v>0</v>
      </c>
      <c r="LX40" s="194" t="s">
        <v>536</v>
      </c>
      <c r="WM40" s="212" t="s">
        <v>1321</v>
      </c>
      <c r="WN40" s="35" t="s">
        <v>1326</v>
      </c>
      <c r="AAK40" t="s">
        <v>328</v>
      </c>
      <c r="AAR40" s="207"/>
      <c r="AAS40" s="207"/>
      <c r="AAY40" s="207" t="s">
        <v>482</v>
      </c>
      <c r="AAZ40" s="207">
        <v>1</v>
      </c>
      <c r="ABA40" t="s">
        <v>2045</v>
      </c>
    </row>
    <row r="41" spans="12:729" ht="15">
      <c r="S41" t="s">
        <v>96</v>
      </c>
      <c r="T41">
        <v>2232</v>
      </c>
      <c r="V41" s="1"/>
      <c r="AW41" s="36"/>
      <c r="BM41" s="370" t="s">
        <v>308</v>
      </c>
      <c r="BN41" s="370"/>
      <c r="BO41" s="370"/>
      <c r="BP41" s="370"/>
      <c r="BQ41" s="370"/>
      <c r="BR41" s="370"/>
      <c r="DN41" s="112"/>
      <c r="DO41" s="207" t="s">
        <v>477</v>
      </c>
      <c r="DP41" s="207">
        <v>2</v>
      </c>
      <c r="DQ41" s="207">
        <f t="shared" si="4"/>
        <v>0</v>
      </c>
      <c r="EJ41" t="s">
        <v>26</v>
      </c>
      <c r="FF41" s="396" t="s">
        <v>1818</v>
      </c>
      <c r="KB41" s="370" t="s">
        <v>558</v>
      </c>
      <c r="KC41" s="370" t="s">
        <v>1862</v>
      </c>
      <c r="LJ41" t="s">
        <v>471</v>
      </c>
      <c r="LK41">
        <v>0</v>
      </c>
      <c r="LX41" s="194" t="s">
        <v>896</v>
      </c>
      <c r="WM41" s="212" t="s">
        <v>1322</v>
      </c>
      <c r="WN41" s="35" t="s">
        <v>1327</v>
      </c>
      <c r="AAK41" t="s">
        <v>411</v>
      </c>
      <c r="AAR41" s="207"/>
      <c r="AAS41" s="207"/>
      <c r="AAY41" s="207" t="s">
        <v>528</v>
      </c>
      <c r="AAZ41" s="207">
        <v>3</v>
      </c>
      <c r="ABA41" s="370" t="s">
        <v>2046</v>
      </c>
    </row>
    <row r="42" spans="12:729" ht="15">
      <c r="S42" t="s">
        <v>21</v>
      </c>
      <c r="T42">
        <v>2233</v>
      </c>
      <c r="V42" s="1"/>
      <c r="AW42" s="36"/>
      <c r="BM42" s="370" t="s">
        <v>309</v>
      </c>
      <c r="BN42" s="370"/>
      <c r="BO42" s="370"/>
      <c r="BP42" s="370"/>
      <c r="BQ42" s="370"/>
      <c r="BR42" s="370"/>
      <c r="DN42" s="112"/>
      <c r="DO42" s="207" t="s">
        <v>471</v>
      </c>
      <c r="DP42" s="207">
        <v>2</v>
      </c>
      <c r="DQ42" s="207">
        <f t="shared" si="4"/>
        <v>0</v>
      </c>
      <c r="FF42" t="s">
        <v>634</v>
      </c>
      <c r="KB42" s="370" t="s">
        <v>560</v>
      </c>
      <c r="KC42" s="370" t="s">
        <v>1862</v>
      </c>
      <c r="LJ42" t="s">
        <v>481</v>
      </c>
      <c r="LK42">
        <v>0</v>
      </c>
      <c r="LX42" s="194" t="s">
        <v>897</v>
      </c>
      <c r="WM42" s="212" t="s">
        <v>1323</v>
      </c>
      <c r="WN42" s="35" t="s">
        <v>1328</v>
      </c>
      <c r="AAR42" s="207"/>
      <c r="AAS42" s="207"/>
      <c r="AAY42" s="207" t="s">
        <v>483</v>
      </c>
      <c r="AAZ42" s="207">
        <v>3</v>
      </c>
      <c r="ABA42" s="370" t="s">
        <v>2046</v>
      </c>
    </row>
    <row r="43" spans="12:729" ht="15">
      <c r="S43" t="s">
        <v>27</v>
      </c>
      <c r="T43">
        <v>2157</v>
      </c>
      <c r="V43" s="1"/>
      <c r="BD43" s="370" t="s">
        <v>559</v>
      </c>
      <c r="BM43" s="370" t="s">
        <v>310</v>
      </c>
      <c r="BN43" s="370"/>
      <c r="BO43" s="370"/>
      <c r="BP43" s="370"/>
      <c r="BQ43" s="370"/>
      <c r="BR43" s="370"/>
      <c r="DN43" s="112"/>
      <c r="DO43" s="207" t="s">
        <v>481</v>
      </c>
      <c r="DP43" s="207">
        <v>2</v>
      </c>
      <c r="DQ43" s="207">
        <f t="shared" si="4"/>
        <v>0</v>
      </c>
      <c r="FF43" s="395" t="s">
        <v>1897</v>
      </c>
      <c r="KB43" s="370" t="s">
        <v>565</v>
      </c>
      <c r="KC43" s="370" t="s">
        <v>1863</v>
      </c>
      <c r="LJ43" t="s">
        <v>523</v>
      </c>
      <c r="LK43">
        <v>0</v>
      </c>
      <c r="LX43" s="194" t="s">
        <v>542</v>
      </c>
      <c r="WM43" s="212" t="s">
        <v>1324</v>
      </c>
      <c r="WN43" s="35" t="s">
        <v>1329</v>
      </c>
      <c r="AAE43" t="s">
        <v>2032</v>
      </c>
      <c r="AAR43" s="207"/>
      <c r="AAS43" s="207"/>
      <c r="AAY43" s="207" t="s">
        <v>529</v>
      </c>
      <c r="AAZ43" s="207">
        <v>3</v>
      </c>
      <c r="ABA43" s="370" t="s">
        <v>2046</v>
      </c>
    </row>
    <row r="44" spans="12:729" ht="15">
      <c r="S44" t="s">
        <v>20</v>
      </c>
      <c r="T44">
        <v>2158</v>
      </c>
      <c r="V44" s="1"/>
      <c r="BD44" s="370" t="s">
        <v>568</v>
      </c>
      <c r="BM44" s="370" t="s">
        <v>338</v>
      </c>
      <c r="BN44" s="370"/>
      <c r="BO44" s="370"/>
      <c r="BP44" s="370"/>
      <c r="BQ44" s="370"/>
      <c r="BR44" s="370"/>
      <c r="DN44" s="112"/>
      <c r="DO44" s="207" t="s">
        <v>523</v>
      </c>
      <c r="DP44" s="207">
        <v>2</v>
      </c>
      <c r="DQ44" s="207">
        <f t="shared" si="4"/>
        <v>0</v>
      </c>
      <c r="FF44" t="s">
        <v>635</v>
      </c>
      <c r="HZ44" t="s">
        <v>2031</v>
      </c>
      <c r="KB44" s="370" t="s">
        <v>872</v>
      </c>
      <c r="KC44" s="370" t="s">
        <v>1862</v>
      </c>
      <c r="LJ44" t="s">
        <v>482</v>
      </c>
      <c r="LK44">
        <v>0</v>
      </c>
      <c r="LX44" s="194" t="s">
        <v>898</v>
      </c>
      <c r="WM44" s="212" t="s">
        <v>1310</v>
      </c>
      <c r="WN44" s="35" t="s">
        <v>1254</v>
      </c>
      <c r="AAE44" t="s">
        <v>1972</v>
      </c>
      <c r="AAR44" s="207"/>
      <c r="AAS44" s="207"/>
      <c r="AAY44" s="207" t="s">
        <v>525</v>
      </c>
      <c r="AAZ44" s="207">
        <v>3</v>
      </c>
      <c r="ABA44" s="370" t="s">
        <v>2046</v>
      </c>
    </row>
    <row r="45" spans="12:729" ht="25.5" customHeight="1">
      <c r="S45" t="s">
        <v>28</v>
      </c>
      <c r="T45">
        <v>2159</v>
      </c>
      <c r="V45" s="1"/>
      <c r="BD45" t="s">
        <v>81</v>
      </c>
      <c r="BM45" t="s">
        <v>998</v>
      </c>
      <c r="DN45" s="112"/>
      <c r="DO45" s="207" t="s">
        <v>482</v>
      </c>
      <c r="DP45" s="207">
        <v>3</v>
      </c>
      <c r="DQ45" s="207">
        <f t="shared" si="4"/>
        <v>0</v>
      </c>
      <c r="FF45" t="s">
        <v>636</v>
      </c>
      <c r="HZ45" t="s">
        <v>1972</v>
      </c>
      <c r="KB45" t="s">
        <v>557</v>
      </c>
      <c r="KC45" t="s">
        <v>1862</v>
      </c>
      <c r="LJ45" t="s">
        <v>479</v>
      </c>
      <c r="LK45">
        <v>0</v>
      </c>
      <c r="LX45" s="194" t="s">
        <v>899</v>
      </c>
      <c r="WM45" s="212" t="s">
        <v>1311</v>
      </c>
      <c r="WN45" s="35" t="s">
        <v>1255</v>
      </c>
      <c r="AAE45" t="s">
        <v>1973</v>
      </c>
      <c r="AAR45" s="207"/>
      <c r="AAS45" s="207"/>
    </row>
    <row r="46" spans="12:729" ht="15">
      <c r="S46" t="s">
        <v>21</v>
      </c>
      <c r="T46">
        <v>2160</v>
      </c>
      <c r="V46" s="1"/>
      <c r="BD46" t="s">
        <v>563</v>
      </c>
      <c r="DN46" s="112"/>
      <c r="DO46" s="207" t="s">
        <v>479</v>
      </c>
      <c r="DP46" s="207">
        <v>3</v>
      </c>
      <c r="DQ46" s="207">
        <f t="shared" si="4"/>
        <v>0</v>
      </c>
      <c r="FF46" t="s">
        <v>322</v>
      </c>
      <c r="FJ46" s="35" t="s">
        <v>2059</v>
      </c>
      <c r="HZ46" t="s">
        <v>1973</v>
      </c>
      <c r="KB46" t="s">
        <v>564</v>
      </c>
      <c r="KC46" t="s">
        <v>1863</v>
      </c>
      <c r="LJ46" t="s">
        <v>472</v>
      </c>
      <c r="LK46">
        <v>0</v>
      </c>
      <c r="LX46" s="194" t="s">
        <v>900</v>
      </c>
      <c r="WM46" s="212" t="s">
        <v>1312</v>
      </c>
      <c r="WN46" s="35" t="s">
        <v>1256</v>
      </c>
      <c r="AAE46" t="s">
        <v>332</v>
      </c>
      <c r="AAR46" s="207"/>
      <c r="AAS46" s="207"/>
    </row>
    <row r="47" spans="12:729" ht="15">
      <c r="S47" t="s">
        <v>22</v>
      </c>
      <c r="T47">
        <v>2161</v>
      </c>
      <c r="V47" s="2"/>
      <c r="BD47" t="s">
        <v>566</v>
      </c>
      <c r="DN47" s="112"/>
      <c r="DO47" s="207" t="s">
        <v>472</v>
      </c>
      <c r="DP47" s="207">
        <v>3</v>
      </c>
      <c r="DQ47" s="207">
        <f t="shared" si="4"/>
        <v>0</v>
      </c>
      <c r="EM47" t="s">
        <v>2014</v>
      </c>
      <c r="EN47" t="s">
        <v>2015</v>
      </c>
      <c r="FF47" t="s">
        <v>637</v>
      </c>
      <c r="FJ47" t="s">
        <v>2005</v>
      </c>
      <c r="KB47" s="395" t="s">
        <v>1917</v>
      </c>
      <c r="KC47" t="s">
        <v>1862</v>
      </c>
      <c r="LJ47" t="s">
        <v>474</v>
      </c>
      <c r="LK47">
        <v>0</v>
      </c>
      <c r="LX47" s="194" t="s">
        <v>515</v>
      </c>
      <c r="WM47" s="212" t="s">
        <v>1313</v>
      </c>
      <c r="WN47" s="35" t="s">
        <v>1257</v>
      </c>
      <c r="AAR47" s="207"/>
      <c r="AAS47" s="207"/>
    </row>
    <row r="48" spans="12:729" ht="15">
      <c r="S48" t="s">
        <v>69</v>
      </c>
      <c r="T48">
        <v>2162</v>
      </c>
      <c r="V48" s="2"/>
      <c r="BD48" t="s">
        <v>562</v>
      </c>
      <c r="DN48" s="112"/>
      <c r="DO48" s="207" t="s">
        <v>474</v>
      </c>
      <c r="DP48" s="207">
        <v>3</v>
      </c>
      <c r="DQ48" s="207">
        <f t="shared" si="4"/>
        <v>0</v>
      </c>
      <c r="EM48" t="s">
        <v>603</v>
      </c>
      <c r="EN48" t="s">
        <v>603</v>
      </c>
      <c r="FF48" s="348" t="s">
        <v>1791</v>
      </c>
      <c r="FJ48" s="217" t="s">
        <v>2004</v>
      </c>
      <c r="KB48" s="395" t="s">
        <v>1918</v>
      </c>
      <c r="KC48" t="s">
        <v>1862</v>
      </c>
      <c r="LJ48" t="s">
        <v>483</v>
      </c>
      <c r="LK48">
        <v>0</v>
      </c>
      <c r="LX48" s="194" t="s">
        <v>501</v>
      </c>
      <c r="WM48" s="212" t="s">
        <v>1314</v>
      </c>
      <c r="WN48" s="35" t="s">
        <v>1258</v>
      </c>
      <c r="AAR48" s="207"/>
      <c r="AAS48" s="207"/>
    </row>
    <row r="49" spans="19:720" ht="15">
      <c r="S49" t="s">
        <v>28</v>
      </c>
      <c r="T49">
        <v>2163</v>
      </c>
      <c r="V49" s="1"/>
      <c r="BD49" t="s">
        <v>558</v>
      </c>
      <c r="DN49" s="112"/>
      <c r="DO49" s="207" t="s">
        <v>483</v>
      </c>
      <c r="DP49" s="207">
        <v>3</v>
      </c>
      <c r="DQ49" s="207">
        <f t="shared" si="4"/>
        <v>0</v>
      </c>
      <c r="EM49" s="394" t="s">
        <v>1870</v>
      </c>
      <c r="EN49" t="s">
        <v>1940</v>
      </c>
      <c r="FF49" t="s">
        <v>638</v>
      </c>
      <c r="KB49" s="395" t="s">
        <v>1919</v>
      </c>
      <c r="KC49" t="s">
        <v>1862</v>
      </c>
      <c r="LJ49" t="s">
        <v>468</v>
      </c>
      <c r="LK49">
        <v>0</v>
      </c>
      <c r="LX49" s="194" t="s">
        <v>502</v>
      </c>
      <c r="WN49" s="35" t="s">
        <v>1320</v>
      </c>
    </row>
    <row r="50" spans="19:720" ht="15">
      <c r="S50" t="s">
        <v>21</v>
      </c>
      <c r="T50">
        <v>2164</v>
      </c>
      <c r="V50" s="1"/>
      <c r="BD50" t="s">
        <v>560</v>
      </c>
      <c r="DN50" s="112"/>
      <c r="DO50" s="207" t="s">
        <v>468</v>
      </c>
      <c r="DP50" s="207">
        <v>4</v>
      </c>
      <c r="DQ50" s="207">
        <f t="shared" si="4"/>
        <v>0</v>
      </c>
      <c r="EM50" s="394" t="s">
        <v>1871</v>
      </c>
      <c r="EN50" s="394" t="s">
        <v>1873</v>
      </c>
      <c r="FF50" t="s">
        <v>639</v>
      </c>
      <c r="KB50" s="395" t="s">
        <v>1920</v>
      </c>
      <c r="KC50" t="s">
        <v>1863</v>
      </c>
      <c r="LJ50" t="s">
        <v>473</v>
      </c>
      <c r="LK50">
        <v>0</v>
      </c>
      <c r="LX50" s="194" t="s">
        <v>503</v>
      </c>
      <c r="WN50" s="35" t="s">
        <v>1321</v>
      </c>
    </row>
    <row r="51" spans="19:720" ht="15">
      <c r="S51" t="s">
        <v>29</v>
      </c>
      <c r="T51">
        <v>2167</v>
      </c>
      <c r="V51" s="1"/>
      <c r="BD51" t="s">
        <v>567</v>
      </c>
      <c r="DN51" s="112"/>
      <c r="DO51" s="207" t="s">
        <v>473</v>
      </c>
      <c r="DP51" s="207">
        <v>4</v>
      </c>
      <c r="DQ51" s="207">
        <f t="shared" si="4"/>
        <v>0</v>
      </c>
      <c r="EM51" s="394" t="s">
        <v>1872</v>
      </c>
      <c r="EN51" s="394" t="s">
        <v>2016</v>
      </c>
      <c r="FF51" t="s">
        <v>640</v>
      </c>
      <c r="KB51" t="s">
        <v>1806</v>
      </c>
      <c r="KC51" t="s">
        <v>1862</v>
      </c>
      <c r="LJ51" t="s">
        <v>478</v>
      </c>
      <c r="LK51">
        <v>0</v>
      </c>
      <c r="LX51" s="194" t="s">
        <v>901</v>
      </c>
      <c r="WN51" s="35" t="s">
        <v>1322</v>
      </c>
    </row>
    <row r="52" spans="19:720" ht="15">
      <c r="S52" t="s">
        <v>23</v>
      </c>
      <c r="T52">
        <v>2168</v>
      </c>
      <c r="V52" s="1"/>
      <c r="BD52" t="s">
        <v>565</v>
      </c>
      <c r="DN52" s="112"/>
      <c r="DO52" s="207" t="s">
        <v>478</v>
      </c>
      <c r="DP52" s="207">
        <v>4</v>
      </c>
      <c r="DQ52" s="207">
        <f t="shared" si="4"/>
        <v>0</v>
      </c>
      <c r="EM52" t="s">
        <v>602</v>
      </c>
      <c r="EN52" s="394" t="s">
        <v>724</v>
      </c>
      <c r="FF52" s="395" t="s">
        <v>1891</v>
      </c>
      <c r="FI52" t="s">
        <v>867</v>
      </c>
      <c r="LJ52" t="s">
        <v>480</v>
      </c>
      <c r="LK52">
        <v>0</v>
      </c>
      <c r="LX52" s="194" t="s">
        <v>1009</v>
      </c>
      <c r="WN52" s="35" t="s">
        <v>1323</v>
      </c>
    </row>
    <row r="53" spans="19:720" ht="15">
      <c r="S53" t="s">
        <v>24</v>
      </c>
      <c r="T53">
        <v>2183</v>
      </c>
      <c r="V53" s="1"/>
      <c r="BD53" t="s">
        <v>561</v>
      </c>
      <c r="DN53" s="112"/>
      <c r="DO53" s="207" t="s">
        <v>480</v>
      </c>
      <c r="DP53" s="207">
        <v>4</v>
      </c>
      <c r="DQ53" s="207">
        <f t="shared" si="4"/>
        <v>0</v>
      </c>
      <c r="EM53" t="s">
        <v>1940</v>
      </c>
      <c r="EN53" s="394" t="s">
        <v>2017</v>
      </c>
      <c r="FF53" s="395" t="s">
        <v>1892</v>
      </c>
      <c r="FG53" s="375" t="s">
        <v>153</v>
      </c>
      <c r="FH53" s="375" t="s">
        <v>1546</v>
      </c>
      <c r="FI53" s="380" t="s">
        <v>1783</v>
      </c>
      <c r="LJ53" t="s">
        <v>524</v>
      </c>
      <c r="LK53">
        <v>0</v>
      </c>
      <c r="LX53" s="194" t="s">
        <v>1010</v>
      </c>
      <c r="WN53" s="35" t="s">
        <v>1324</v>
      </c>
    </row>
    <row r="54" spans="19:720" ht="15">
      <c r="S54" t="s">
        <v>78</v>
      </c>
      <c r="T54">
        <v>2184</v>
      </c>
      <c r="V54" s="1"/>
      <c r="BD54" t="s">
        <v>872</v>
      </c>
      <c r="DN54" s="112"/>
      <c r="DO54" s="207" t="s">
        <v>524</v>
      </c>
      <c r="DP54" s="207">
        <v>4</v>
      </c>
      <c r="DQ54" s="207">
        <f t="shared" si="4"/>
        <v>0</v>
      </c>
      <c r="EM54" s="394" t="s">
        <v>1873</v>
      </c>
      <c r="EN54" t="s">
        <v>232</v>
      </c>
      <c r="FF54" t="s">
        <v>399</v>
      </c>
      <c r="FG54" s="375" t="s">
        <v>306</v>
      </c>
      <c r="FH54" s="375" t="str">
        <f>$FG$287</f>
        <v>Timber_Hinged_Frame_TypeOUT</v>
      </c>
      <c r="FI54" s="380" t="str">
        <f>FJ46</f>
        <v>Air_Hinged_Frame_TypeOUT</v>
      </c>
      <c r="LJ54" t="s">
        <v>525</v>
      </c>
      <c r="LK54">
        <v>0</v>
      </c>
      <c r="LX54" s="194" t="s">
        <v>1022</v>
      </c>
      <c r="WN54" s="35" t="s">
        <v>1310</v>
      </c>
    </row>
    <row r="55" spans="19:720">
      <c r="S55" t="s">
        <v>80</v>
      </c>
      <c r="T55">
        <v>2185</v>
      </c>
      <c r="V55" s="1"/>
      <c r="BD55" t="s">
        <v>564</v>
      </c>
      <c r="DO55" s="207" t="s">
        <v>525</v>
      </c>
      <c r="DP55" s="207">
        <v>4</v>
      </c>
      <c r="DQ55" s="207">
        <f t="shared" si="4"/>
        <v>0</v>
      </c>
      <c r="EM55" s="394" t="s">
        <v>1879</v>
      </c>
      <c r="EN55" t="s">
        <v>601</v>
      </c>
      <c r="FF55" t="s">
        <v>1531</v>
      </c>
      <c r="FG55" s="375" t="s">
        <v>307</v>
      </c>
      <c r="FH55" s="375" t="str">
        <f>$FH$287</f>
        <v>Timber_Double_Hinged_Frame_TypeOUT</v>
      </c>
      <c r="FI55" s="380" t="str">
        <f t="shared" ref="FI55:FI60" si="15">$FO$1</f>
        <v>NAFrameType</v>
      </c>
      <c r="HX55" t="s">
        <v>727</v>
      </c>
      <c r="LJ55" t="s">
        <v>526</v>
      </c>
      <c r="LK55">
        <v>0</v>
      </c>
      <c r="LX55" s="194" t="s">
        <v>1023</v>
      </c>
      <c r="WN55" s="35" t="s">
        <v>1311</v>
      </c>
    </row>
    <row r="56" spans="19:720">
      <c r="S56" t="s">
        <v>83</v>
      </c>
      <c r="T56">
        <v>2186</v>
      </c>
      <c r="V56" s="1"/>
      <c r="BD56" t="s">
        <v>557</v>
      </c>
      <c r="DO56" s="207" t="s">
        <v>526</v>
      </c>
      <c r="DP56" s="207">
        <v>4</v>
      </c>
      <c r="DQ56" s="207">
        <f t="shared" si="4"/>
        <v>0</v>
      </c>
      <c r="EM56" s="394" t="s">
        <v>1874</v>
      </c>
      <c r="EN56" t="s">
        <v>1942</v>
      </c>
      <c r="FF56" s="348" t="s">
        <v>1795</v>
      </c>
      <c r="FG56" s="375" t="s">
        <v>308</v>
      </c>
      <c r="FH56" s="375" t="str">
        <f>$FL$1</f>
        <v>Track_Bi_Fold_Frame_Type</v>
      </c>
      <c r="FI56" s="380" t="str">
        <f t="shared" si="15"/>
        <v>NAFrameType</v>
      </c>
      <c r="HX56" t="s">
        <v>752</v>
      </c>
      <c r="HY56" t="str">
        <f>HZ2</f>
        <v>Bi Fold Bottom Fixed Pivot Bracket Pin</v>
      </c>
      <c r="LJ56" t="s">
        <v>469</v>
      </c>
      <c r="LK56">
        <v>0</v>
      </c>
      <c r="LX56" s="194" t="s">
        <v>1026</v>
      </c>
      <c r="WN56" s="35" t="s">
        <v>1312</v>
      </c>
      <c r="AAR56" t="s">
        <v>1970</v>
      </c>
    </row>
    <row r="57" spans="19:720">
      <c r="S57" t="s">
        <v>86</v>
      </c>
      <c r="T57">
        <v>2187</v>
      </c>
      <c r="V57" s="1"/>
      <c r="DO57" s="207" t="s">
        <v>469</v>
      </c>
      <c r="DP57" s="207">
        <v>8</v>
      </c>
      <c r="DQ57" s="207">
        <f t="shared" si="4"/>
        <v>0</v>
      </c>
      <c r="EJ57" t="s">
        <v>1993</v>
      </c>
      <c r="EM57" s="394" t="s">
        <v>1875</v>
      </c>
      <c r="EN57" t="s">
        <v>1943</v>
      </c>
      <c r="FF57" s="348" t="s">
        <v>1796</v>
      </c>
      <c r="FG57" s="375" t="s">
        <v>309</v>
      </c>
      <c r="FH57" s="375" t="str">
        <f>$FM$1</f>
        <v>Sliding_Frame_Type</v>
      </c>
      <c r="FI57" s="380" t="str">
        <f t="shared" si="15"/>
        <v>NAFrameType</v>
      </c>
      <c r="HX57" t="s">
        <v>1871</v>
      </c>
      <c r="HY57" t="str">
        <f>HZ9</f>
        <v>Bi Fold Flush Bolt Timber Only</v>
      </c>
      <c r="LJ57" t="s">
        <v>470</v>
      </c>
      <c r="LK57">
        <v>0</v>
      </c>
      <c r="LX57" s="194" t="s">
        <v>1027</v>
      </c>
      <c r="WN57" s="35" t="s">
        <v>1313</v>
      </c>
      <c r="AAR57" t="s">
        <v>1971</v>
      </c>
    </row>
    <row r="58" spans="19:720">
      <c r="S58" t="s">
        <v>89</v>
      </c>
      <c r="T58">
        <v>2188</v>
      </c>
      <c r="V58" s="1"/>
      <c r="DO58" s="207" t="s">
        <v>470</v>
      </c>
      <c r="DP58" s="207">
        <v>6</v>
      </c>
      <c r="DQ58" s="207">
        <f t="shared" si="4"/>
        <v>0</v>
      </c>
      <c r="EJ58" t="s">
        <v>26</v>
      </c>
      <c r="EM58" s="394" t="s">
        <v>1876</v>
      </c>
      <c r="EN58" s="394" t="s">
        <v>1877</v>
      </c>
      <c r="FG58" s="375" t="s">
        <v>310</v>
      </c>
      <c r="FH58" s="375" t="str">
        <f>$FN$1</f>
        <v>Fixed_Frame_Type</v>
      </c>
      <c r="FI58" s="380" t="str">
        <f t="shared" ref="FI58" si="16">$FN$1</f>
        <v>Fixed_Frame_Type</v>
      </c>
      <c r="HX58" t="s">
        <v>2027</v>
      </c>
      <c r="HY58" t="str">
        <f>HZ17</f>
        <v>Bi Fold Magnets</v>
      </c>
      <c r="LJ58" t="s">
        <v>475</v>
      </c>
      <c r="LK58">
        <v>0</v>
      </c>
      <c r="LX58" s="194" t="s">
        <v>1015</v>
      </c>
      <c r="WN58" s="35" t="s">
        <v>1314</v>
      </c>
      <c r="AAR58" t="s">
        <v>1972</v>
      </c>
    </row>
    <row r="59" spans="19:720">
      <c r="S59" t="s">
        <v>26</v>
      </c>
      <c r="T59">
        <v>2222</v>
      </c>
      <c r="V59" s="1"/>
      <c r="DO59" s="207" t="s">
        <v>475</v>
      </c>
      <c r="DP59" s="207">
        <v>6</v>
      </c>
      <c r="DQ59" s="207">
        <f t="shared" si="4"/>
        <v>0</v>
      </c>
      <c r="EJ59" t="s">
        <v>591</v>
      </c>
      <c r="EM59" t="s">
        <v>605</v>
      </c>
      <c r="FG59" s="375" t="s">
        <v>338</v>
      </c>
      <c r="FH59" s="375" t="str">
        <f>$FO$1</f>
        <v>NAFrameType</v>
      </c>
      <c r="FI59" s="380" t="str">
        <f t="shared" si="15"/>
        <v>NAFrameType</v>
      </c>
      <c r="HX59" t="s">
        <v>1872</v>
      </c>
      <c r="HY59" t="str">
        <f>IA9</f>
        <v>Bi Fold Pull Ring Timber Only</v>
      </c>
      <c r="LJ59" t="s">
        <v>527</v>
      </c>
      <c r="LK59">
        <v>0</v>
      </c>
      <c r="LX59" s="194" t="s">
        <v>1016</v>
      </c>
      <c r="AAR59" t="s">
        <v>1973</v>
      </c>
    </row>
    <row r="60" spans="19:720">
      <c r="S60" t="s">
        <v>113</v>
      </c>
      <c r="T60">
        <v>2223</v>
      </c>
      <c r="V60" s="1"/>
      <c r="DO60" s="207" t="s">
        <v>527</v>
      </c>
      <c r="DP60" s="207">
        <v>8</v>
      </c>
      <c r="DQ60" s="207">
        <f t="shared" si="4"/>
        <v>0</v>
      </c>
      <c r="EJ60" t="s">
        <v>592</v>
      </c>
      <c r="EM60" t="s">
        <v>1927</v>
      </c>
      <c r="FG60" s="375" t="s">
        <v>998</v>
      </c>
      <c r="FH60" s="375" t="str">
        <f>$FI$1</f>
        <v>Pivot_Hinged_Frame_Type</v>
      </c>
      <c r="FI60" s="380" t="str">
        <f t="shared" si="15"/>
        <v>NAFrameType</v>
      </c>
      <c r="HX60" t="s">
        <v>753</v>
      </c>
      <c r="HY60" t="str">
        <f>IA2</f>
        <v>Bottom Pivot Pin For Bi Fold Sliding Panel</v>
      </c>
      <c r="LJ60" t="s">
        <v>528</v>
      </c>
      <c r="LK60">
        <v>0</v>
      </c>
      <c r="LX60" s="194" t="s">
        <v>1028</v>
      </c>
      <c r="AAR60" t="s">
        <v>1111</v>
      </c>
    </row>
    <row r="61" spans="19:720">
      <c r="S61" t="s">
        <v>25</v>
      </c>
      <c r="T61">
        <v>2234</v>
      </c>
      <c r="V61" s="1"/>
      <c r="DO61" s="207" t="s">
        <v>528</v>
      </c>
      <c r="DP61" s="207">
        <v>6</v>
      </c>
      <c r="DQ61" s="207">
        <f t="shared" si="4"/>
        <v>0</v>
      </c>
      <c r="EJ61" t="s">
        <v>593</v>
      </c>
      <c r="EM61" t="s">
        <v>1779</v>
      </c>
      <c r="HX61" t="s">
        <v>2064</v>
      </c>
      <c r="HY61" t="str">
        <f>IV2</f>
        <v>Top Wheel</v>
      </c>
      <c r="LJ61" t="s">
        <v>529</v>
      </c>
      <c r="LK61">
        <v>0</v>
      </c>
      <c r="LX61" s="194" t="s">
        <v>1029</v>
      </c>
      <c r="AAR61" t="s">
        <v>1974</v>
      </c>
    </row>
    <row r="62" spans="19:720">
      <c r="S62" t="s">
        <v>28</v>
      </c>
      <c r="T62">
        <v>2235</v>
      </c>
      <c r="V62" s="1"/>
      <c r="DO62" s="207" t="s">
        <v>529</v>
      </c>
      <c r="DP62" s="207">
        <v>6</v>
      </c>
      <c r="DQ62" s="207">
        <f t="shared" si="4"/>
        <v>0</v>
      </c>
      <c r="EJ62" t="s">
        <v>600</v>
      </c>
      <c r="EM62" t="s">
        <v>1780</v>
      </c>
      <c r="HX62" t="s">
        <v>754</v>
      </c>
      <c r="HY62" t="str">
        <f>IB2</f>
        <v>Bumper Stop</v>
      </c>
      <c r="LJ62" t="s">
        <v>530</v>
      </c>
      <c r="LK62">
        <v>0</v>
      </c>
      <c r="LX62" s="194" t="s">
        <v>504</v>
      </c>
      <c r="AAR62" t="s">
        <v>1975</v>
      </c>
    </row>
    <row r="63" spans="19:720">
      <c r="S63" t="s">
        <v>96</v>
      </c>
      <c r="T63">
        <v>2236</v>
      </c>
      <c r="V63" s="3"/>
      <c r="DO63" s="207" t="s">
        <v>530</v>
      </c>
      <c r="DP63" s="207">
        <v>2</v>
      </c>
      <c r="DQ63" s="207">
        <f t="shared" si="4"/>
        <v>0</v>
      </c>
      <c r="EJ63" t="s">
        <v>595</v>
      </c>
      <c r="EM63" t="s">
        <v>820</v>
      </c>
      <c r="HX63" t="s">
        <v>755</v>
      </c>
      <c r="HY63" t="str">
        <f>IC2</f>
        <v>Carrier Bracket For Bi Fold Sliding Panel</v>
      </c>
      <c r="LJ63" t="s">
        <v>531</v>
      </c>
      <c r="LK63">
        <v>0</v>
      </c>
      <c r="LX63" s="194" t="s">
        <v>520</v>
      </c>
      <c r="AAR63" t="s">
        <v>1976</v>
      </c>
    </row>
    <row r="64" spans="19:720">
      <c r="S64" t="s">
        <v>21</v>
      </c>
      <c r="T64">
        <v>2237</v>
      </c>
      <c r="V64" s="1"/>
      <c r="DO64" s="207" t="s">
        <v>905</v>
      </c>
      <c r="DP64" s="207">
        <v>2</v>
      </c>
      <c r="DQ64" s="207">
        <f t="shared" si="4"/>
        <v>0</v>
      </c>
      <c r="EJ64" t="s">
        <v>596</v>
      </c>
      <c r="EM64" t="s">
        <v>232</v>
      </c>
      <c r="HX64" t="s">
        <v>1916</v>
      </c>
      <c r="HY64" t="str">
        <f>ID30</f>
        <v>Concealed Bi Fold Hinge</v>
      </c>
      <c r="LJ64" t="s">
        <v>532</v>
      </c>
      <c r="LK64">
        <v>0</v>
      </c>
      <c r="LX64" s="194" t="s">
        <v>505</v>
      </c>
      <c r="AAR64" t="s">
        <v>1977</v>
      </c>
    </row>
    <row r="65" spans="19:720">
      <c r="S65" t="s">
        <v>27</v>
      </c>
      <c r="T65">
        <v>2191</v>
      </c>
      <c r="V65" s="2"/>
      <c r="DO65" s="207" t="s">
        <v>535</v>
      </c>
      <c r="DP65" s="207">
        <v>3</v>
      </c>
      <c r="DQ65" s="207">
        <f t="shared" si="4"/>
        <v>0</v>
      </c>
      <c r="EJ65" t="s">
        <v>1809</v>
      </c>
      <c r="EM65" t="s">
        <v>604</v>
      </c>
      <c r="HX65" t="s">
        <v>767</v>
      </c>
      <c r="HY65" t="str">
        <f>ID2</f>
        <v>Flat Hinge</v>
      </c>
      <c r="LJ65" t="s">
        <v>533</v>
      </c>
      <c r="LK65">
        <v>0</v>
      </c>
      <c r="LX65" s="194" t="s">
        <v>506</v>
      </c>
      <c r="AAR65" t="s">
        <v>1978</v>
      </c>
    </row>
    <row r="66" spans="19:720">
      <c r="S66" t="s">
        <v>20</v>
      </c>
      <c r="T66">
        <v>2192</v>
      </c>
      <c r="V66" s="1"/>
      <c r="DO66" s="207" t="s">
        <v>536</v>
      </c>
      <c r="DP66" s="207">
        <v>3</v>
      </c>
      <c r="DQ66" s="207">
        <f t="shared" si="4"/>
        <v>0</v>
      </c>
      <c r="EJ66" t="s">
        <v>1808</v>
      </c>
      <c r="EM66" t="s">
        <v>601</v>
      </c>
      <c r="HX66" t="s">
        <v>397</v>
      </c>
      <c r="HY66" t="str">
        <f>IE2</f>
        <v>Floor Guide</v>
      </c>
      <c r="LJ66" t="s">
        <v>534</v>
      </c>
      <c r="LK66">
        <v>0</v>
      </c>
      <c r="LX66" s="194" t="s">
        <v>507</v>
      </c>
      <c r="AAR66" t="s">
        <v>1979</v>
      </c>
    </row>
    <row r="67" spans="19:720">
      <c r="S67" t="s">
        <v>28</v>
      </c>
      <c r="T67">
        <v>2193</v>
      </c>
      <c r="V67" s="1"/>
      <c r="DO67" s="207" t="s">
        <v>533</v>
      </c>
      <c r="DP67" s="207">
        <v>3</v>
      </c>
      <c r="DQ67" s="207">
        <f t="shared" si="4"/>
        <v>0</v>
      </c>
      <c r="EJ67" t="s">
        <v>599</v>
      </c>
      <c r="EM67" t="s">
        <v>1942</v>
      </c>
      <c r="HX67" t="s">
        <v>669</v>
      </c>
      <c r="HY67" t="str">
        <f>IF2</f>
        <v>Herman Joints</v>
      </c>
      <c r="LJ67" t="s">
        <v>535</v>
      </c>
      <c r="LK67">
        <v>0</v>
      </c>
      <c r="LX67" s="194" t="s">
        <v>902</v>
      </c>
      <c r="AAR67" t="s">
        <v>1980</v>
      </c>
    </row>
    <row r="68" spans="19:720">
      <c r="S68" t="s">
        <v>21</v>
      </c>
      <c r="T68">
        <v>2194</v>
      </c>
      <c r="V68" s="1"/>
      <c r="DO68" s="207" t="s">
        <v>534</v>
      </c>
      <c r="DP68" s="207">
        <v>3</v>
      </c>
      <c r="DQ68" s="207">
        <f t="shared" si="4"/>
        <v>0</v>
      </c>
      <c r="EM68" t="s">
        <v>1943</v>
      </c>
      <c r="HX68" t="s">
        <v>670</v>
      </c>
      <c r="HY68" t="str">
        <f>IG2</f>
        <v>Hidden Tiltrod 114mm</v>
      </c>
      <c r="LJ68" t="s">
        <v>536</v>
      </c>
      <c r="LK68">
        <v>0</v>
      </c>
      <c r="LX68" s="194" t="s">
        <v>508</v>
      </c>
      <c r="AAR68" t="s">
        <v>1981</v>
      </c>
    </row>
    <row r="69" spans="19:720">
      <c r="S69" t="s">
        <v>22</v>
      </c>
      <c r="T69">
        <v>2195</v>
      </c>
      <c r="V69" s="1"/>
      <c r="DO69" s="207" t="s">
        <v>893</v>
      </c>
      <c r="DP69" s="207">
        <v>4</v>
      </c>
      <c r="DQ69" s="207">
        <f t="shared" ref="DQ69:DQ132" si="17">LEN(DO69)-LEN(SUBSTITUTE(DO69,"T",""))</f>
        <v>0</v>
      </c>
      <c r="EM69" s="394" t="s">
        <v>1933</v>
      </c>
      <c r="HX69" t="s">
        <v>671</v>
      </c>
      <c r="HY69" t="str">
        <f>IH2</f>
        <v>Hidden Tiltrod 63mm</v>
      </c>
      <c r="LJ69" t="s">
        <v>537</v>
      </c>
      <c r="LK69">
        <v>0</v>
      </c>
      <c r="LX69" s="194" t="s">
        <v>509</v>
      </c>
    </row>
    <row r="70" spans="19:720">
      <c r="S70" t="s">
        <v>69</v>
      </c>
      <c r="T70">
        <v>2196</v>
      </c>
      <c r="V70" s="1"/>
      <c r="DO70" s="207" t="s">
        <v>918</v>
      </c>
      <c r="DP70" s="207">
        <v>4</v>
      </c>
      <c r="DQ70" s="207">
        <f t="shared" si="17"/>
        <v>0</v>
      </c>
      <c r="EM70" s="394" t="s">
        <v>1877</v>
      </c>
      <c r="HX70" t="s">
        <v>672</v>
      </c>
      <c r="HY70" t="str">
        <f>II2</f>
        <v>Hidden Tiltrod 89mm</v>
      </c>
      <c r="LJ70" t="s">
        <v>484</v>
      </c>
      <c r="LK70">
        <v>0</v>
      </c>
      <c r="LX70" s="194" t="s">
        <v>538</v>
      </c>
    </row>
    <row r="71" spans="19:720">
      <c r="S71" t="s">
        <v>28</v>
      </c>
      <c r="T71">
        <v>2197</v>
      </c>
      <c r="V71" s="1"/>
      <c r="DO71" s="207" t="s">
        <v>919</v>
      </c>
      <c r="DP71" s="207">
        <v>4</v>
      </c>
      <c r="DQ71" s="207">
        <f t="shared" si="17"/>
        <v>0</v>
      </c>
      <c r="EM71" t="s">
        <v>1878</v>
      </c>
      <c r="HX71" t="s">
        <v>2030</v>
      </c>
      <c r="HY71" t="str">
        <f>HZ44</f>
        <v>Hidden Tiltrod 89mm Air</v>
      </c>
      <c r="LJ71" t="s">
        <v>485</v>
      </c>
      <c r="LK71">
        <v>1</v>
      </c>
      <c r="LX71" s="194" t="s">
        <v>903</v>
      </c>
    </row>
    <row r="72" spans="19:720">
      <c r="S72" t="s">
        <v>21</v>
      </c>
      <c r="T72">
        <v>2198</v>
      </c>
      <c r="V72" s="2"/>
      <c r="DO72" s="207" t="s">
        <v>920</v>
      </c>
      <c r="DP72" s="207">
        <v>4</v>
      </c>
      <c r="DQ72" s="207">
        <f t="shared" si="17"/>
        <v>0</v>
      </c>
      <c r="HX72" t="s">
        <v>756</v>
      </c>
      <c r="HY72" t="str">
        <f>IJ2</f>
        <v>Hinge Packer</v>
      </c>
      <c r="LJ72" t="s">
        <v>538</v>
      </c>
      <c r="LK72">
        <v>2</v>
      </c>
      <c r="LX72" s="194" t="s">
        <v>904</v>
      </c>
    </row>
    <row r="73" spans="19:720">
      <c r="S73" t="s">
        <v>29</v>
      </c>
      <c r="T73">
        <v>2199</v>
      </c>
      <c r="V73" s="1"/>
      <c r="DO73" s="207" t="s">
        <v>921</v>
      </c>
      <c r="DP73" s="207">
        <v>4</v>
      </c>
      <c r="DQ73" s="207">
        <f t="shared" si="17"/>
        <v>0</v>
      </c>
      <c r="FB73" t="s">
        <v>2007</v>
      </c>
      <c r="HX73" t="s">
        <v>674</v>
      </c>
      <c r="HY73" t="str">
        <f>IK2</f>
        <v>Hinge Pin</v>
      </c>
      <c r="LJ73" t="s">
        <v>539</v>
      </c>
      <c r="LK73">
        <v>0</v>
      </c>
      <c r="LX73" s="194" t="s">
        <v>510</v>
      </c>
    </row>
    <row r="74" spans="19:720">
      <c r="S74" t="s">
        <v>23</v>
      </c>
      <c r="T74">
        <v>2200</v>
      </c>
      <c r="V74" s="1"/>
      <c r="DO74" s="207" t="s">
        <v>484</v>
      </c>
      <c r="DP74" s="207">
        <v>4</v>
      </c>
      <c r="DQ74" s="207">
        <f t="shared" si="17"/>
        <v>0</v>
      </c>
      <c r="FB74" t="s">
        <v>1546</v>
      </c>
      <c r="HX74" t="s">
        <v>2025</v>
      </c>
      <c r="HY74" t="str">
        <f>HZ29</f>
        <v>L Bracket</v>
      </c>
      <c r="LJ74" t="s">
        <v>540</v>
      </c>
      <c r="LK74">
        <v>1</v>
      </c>
      <c r="LX74" s="194" t="s">
        <v>427</v>
      </c>
    </row>
    <row r="75" spans="19:720">
      <c r="S75" t="s">
        <v>24</v>
      </c>
      <c r="T75">
        <v>2201</v>
      </c>
      <c r="V75" s="1"/>
      <c r="DO75" s="207" t="s">
        <v>884</v>
      </c>
      <c r="DP75" s="207">
        <v>3</v>
      </c>
      <c r="DQ75" s="207">
        <f t="shared" si="17"/>
        <v>0</v>
      </c>
      <c r="FB75" t="s">
        <v>1783</v>
      </c>
      <c r="FF75" t="s">
        <v>641</v>
      </c>
      <c r="FG75" t="s">
        <v>1894</v>
      </c>
      <c r="HX75" t="s">
        <v>768</v>
      </c>
      <c r="HY75" t="str">
        <f>IL2</f>
        <v>L Drop Hinge</v>
      </c>
      <c r="LJ75" t="s">
        <v>541</v>
      </c>
      <c r="LK75">
        <v>2</v>
      </c>
      <c r="LX75" s="194" t="s">
        <v>905</v>
      </c>
    </row>
    <row r="76" spans="19:720">
      <c r="S76" t="s">
        <v>78</v>
      </c>
      <c r="T76">
        <v>2202</v>
      </c>
      <c r="V76" s="90"/>
      <c r="DO76" s="207" t="s">
        <v>908</v>
      </c>
      <c r="DP76" s="207">
        <v>3</v>
      </c>
      <c r="DQ76" s="207">
        <f t="shared" si="17"/>
        <v>0</v>
      </c>
      <c r="FF76" s="395" t="s">
        <v>1881</v>
      </c>
      <c r="FG76" t="str">
        <f>$FR$22</f>
        <v>Additional Fascia 100mm x 12mm</v>
      </c>
      <c r="HX76" t="s">
        <v>757</v>
      </c>
      <c r="HY76" t="str">
        <f>IM2</f>
        <v>Magnet Catch</v>
      </c>
      <c r="LJ76" t="s">
        <v>488</v>
      </c>
      <c r="LK76">
        <v>0</v>
      </c>
      <c r="LX76" s="194" t="s">
        <v>906</v>
      </c>
    </row>
    <row r="77" spans="19:720">
      <c r="S77" t="s">
        <v>80</v>
      </c>
      <c r="T77">
        <v>2203</v>
      </c>
      <c r="V77" s="4"/>
      <c r="DO77" s="207" t="s">
        <v>885</v>
      </c>
      <c r="DP77" s="207">
        <v>3</v>
      </c>
      <c r="DQ77" s="207">
        <f t="shared" si="17"/>
        <v>0</v>
      </c>
      <c r="FF77" t="s">
        <v>618</v>
      </c>
      <c r="FG77" t="str">
        <f>$FS$1</f>
        <v>Additional Fascia 100mm x 9.5mm Material</v>
      </c>
      <c r="HX77" s="348" t="s">
        <v>1793</v>
      </c>
      <c r="HY77" t="str">
        <f>IV16</f>
        <v>Metal Return Clip For Fascia</v>
      </c>
      <c r="LJ77" t="s">
        <v>486</v>
      </c>
      <c r="LK77">
        <v>0</v>
      </c>
      <c r="LX77" s="194" t="s">
        <v>534</v>
      </c>
    </row>
    <row r="78" spans="19:720">
      <c r="S78" t="s">
        <v>83</v>
      </c>
      <c r="T78">
        <v>2204</v>
      </c>
      <c r="V78" s="1"/>
      <c r="DO78" s="207" t="s">
        <v>906</v>
      </c>
      <c r="DP78" s="207">
        <v>3</v>
      </c>
      <c r="DQ78" s="207">
        <f t="shared" si="17"/>
        <v>0</v>
      </c>
      <c r="FF78" s="395" t="s">
        <v>1882</v>
      </c>
      <c r="FG78" t="str">
        <f>$FS$22</f>
        <v>Additional Fascia 140mm x 12mm</v>
      </c>
      <c r="HX78" t="s">
        <v>679</v>
      </c>
      <c r="HY78" t="str">
        <f>IN2</f>
        <v>Pivot Hinges Left Right Sides</v>
      </c>
      <c r="LJ78" t="s">
        <v>487</v>
      </c>
      <c r="LK78">
        <v>1</v>
      </c>
      <c r="LX78" s="194" t="s">
        <v>907</v>
      </c>
    </row>
    <row r="79" spans="19:720">
      <c r="S79" t="s">
        <v>86</v>
      </c>
      <c r="T79">
        <v>2205</v>
      </c>
      <c r="V79" s="1"/>
      <c r="DO79" s="207" t="s">
        <v>907</v>
      </c>
      <c r="DP79" s="207">
        <v>3</v>
      </c>
      <c r="DQ79" s="207">
        <f t="shared" si="17"/>
        <v>0</v>
      </c>
      <c r="FF79" t="s">
        <v>619</v>
      </c>
      <c r="FG79" t="str">
        <f>$FT$1</f>
        <v>Additional Fascia 140mm x 9.5mm Material</v>
      </c>
      <c r="HX79" t="s">
        <v>683</v>
      </c>
      <c r="HY79" t="str">
        <f>IO2</f>
        <v>Screw</v>
      </c>
      <c r="LJ79" s="395" t="s">
        <v>1893</v>
      </c>
      <c r="LK79" s="395">
        <v>1</v>
      </c>
      <c r="LX79" s="194" t="s">
        <v>908</v>
      </c>
    </row>
    <row r="80" spans="19:720">
      <c r="S80" t="s">
        <v>89</v>
      </c>
      <c r="T80">
        <v>2206</v>
      </c>
      <c r="V80" s="1"/>
      <c r="BB80" t="s">
        <v>1988</v>
      </c>
      <c r="BD80" t="s">
        <v>1546</v>
      </c>
      <c r="DO80" s="207" t="s">
        <v>539</v>
      </c>
      <c r="DP80" s="207">
        <v>6</v>
      </c>
      <c r="DQ80" s="207">
        <f t="shared" si="17"/>
        <v>0</v>
      </c>
      <c r="FF80" s="395" t="s">
        <v>1880</v>
      </c>
      <c r="FG80" t="str">
        <f>$FT$22</f>
        <v>Additional Fascia 60mm x 12mm</v>
      </c>
      <c r="HX80" s="348" t="s">
        <v>758</v>
      </c>
      <c r="HY80" t="str">
        <f>IP2</f>
        <v>Slider L Bracket</v>
      </c>
      <c r="LJ80" t="s">
        <v>542</v>
      </c>
      <c r="LK80">
        <v>0</v>
      </c>
      <c r="LX80" s="194" t="s">
        <v>909</v>
      </c>
    </row>
    <row r="81" spans="19:336">
      <c r="S81" t="s">
        <v>26</v>
      </c>
      <c r="T81">
        <v>2220</v>
      </c>
      <c r="V81" s="1"/>
      <c r="BB81" t="s">
        <v>609</v>
      </c>
      <c r="BD81" t="s">
        <v>559</v>
      </c>
      <c r="BE81" t="str">
        <f>$EW$2</f>
        <v>Timber_Blade</v>
      </c>
      <c r="DO81" s="207" t="s">
        <v>922</v>
      </c>
      <c r="DP81" s="207">
        <v>6</v>
      </c>
      <c r="DQ81" s="207">
        <f t="shared" si="17"/>
        <v>0</v>
      </c>
      <c r="FF81" t="s">
        <v>620</v>
      </c>
      <c r="FG81" t="str">
        <f>$FU$1</f>
        <v>Additional Fascia 60mm x 9.5mm Material</v>
      </c>
      <c r="HX81" s="348" t="s">
        <v>2026</v>
      </c>
      <c r="HY81" t="str">
        <f>HZ23</f>
        <v>Spring Catch</v>
      </c>
      <c r="LJ81" t="s">
        <v>543</v>
      </c>
      <c r="LK81">
        <v>1</v>
      </c>
      <c r="LX81" s="194" t="s">
        <v>910</v>
      </c>
    </row>
    <row r="82" spans="19:336">
      <c r="S82" t="s">
        <v>113</v>
      </c>
      <c r="T82">
        <v>2221</v>
      </c>
      <c r="V82" s="1"/>
      <c r="BD82" t="s">
        <v>568</v>
      </c>
      <c r="BE82" t="str">
        <f t="shared" ref="BE82:BE106" si="18">$EW$2</f>
        <v>Timber_Blade</v>
      </c>
      <c r="DO82" s="207" t="s">
        <v>538</v>
      </c>
      <c r="DP82" s="207">
        <v>4</v>
      </c>
      <c r="DQ82" s="207">
        <f t="shared" si="17"/>
        <v>2</v>
      </c>
      <c r="FF82" t="s">
        <v>621</v>
      </c>
      <c r="FG82" t="str">
        <f>$FV$1</f>
        <v>Additional Headboard 100mm x 19mm Material</v>
      </c>
      <c r="HX82" s="348" t="s">
        <v>759</v>
      </c>
      <c r="HY82" t="str">
        <f>IQ2</f>
        <v>Spring Pin</v>
      </c>
      <c r="LJ82" t="s">
        <v>544</v>
      </c>
      <c r="LK82">
        <v>3</v>
      </c>
      <c r="LX82" s="194" t="s">
        <v>911</v>
      </c>
    </row>
    <row r="83" spans="19:336">
      <c r="S83" t="s">
        <v>25</v>
      </c>
      <c r="T83">
        <v>2226</v>
      </c>
      <c r="V83" s="1"/>
      <c r="BD83" t="s">
        <v>1549</v>
      </c>
      <c r="BE83" t="str">
        <f t="shared" si="18"/>
        <v>Timber_Blade</v>
      </c>
      <c r="DO83" s="207" t="s">
        <v>485</v>
      </c>
      <c r="DP83" s="207">
        <v>4</v>
      </c>
      <c r="DQ83" s="207">
        <f t="shared" si="17"/>
        <v>1</v>
      </c>
      <c r="FF83" s="395" t="s">
        <v>1883</v>
      </c>
      <c r="FG83" t="str">
        <f>FU22</f>
        <v>Additional Headboard 100mm x 20mm</v>
      </c>
      <c r="HX83" s="348" t="s">
        <v>760</v>
      </c>
      <c r="HY83" t="str">
        <f>IR2</f>
        <v>Standard Hinge</v>
      </c>
      <c r="LJ83" t="s">
        <v>545</v>
      </c>
      <c r="LK83">
        <v>2</v>
      </c>
      <c r="LX83" s="194" t="s">
        <v>912</v>
      </c>
    </row>
    <row r="84" spans="19:336">
      <c r="S84" t="s">
        <v>28</v>
      </c>
      <c r="T84">
        <v>2227</v>
      </c>
      <c r="V84" s="1"/>
      <c r="BD84" t="s">
        <v>558</v>
      </c>
      <c r="BE84" t="str">
        <f t="shared" si="18"/>
        <v>Timber_Blade</v>
      </c>
      <c r="DO84" s="207" t="s">
        <v>923</v>
      </c>
      <c r="DP84" s="207">
        <v>8</v>
      </c>
      <c r="DQ84" s="207">
        <f t="shared" si="17"/>
        <v>0</v>
      </c>
      <c r="FF84" t="s">
        <v>1082</v>
      </c>
      <c r="FG84" t="str">
        <f>$FR$1</f>
        <v>Additional Headboard 140mm x 19mm Material</v>
      </c>
      <c r="HX84" s="348" t="s">
        <v>1501</v>
      </c>
      <c r="HY84" t="str">
        <f>IR2</f>
        <v>Standard Hinge</v>
      </c>
      <c r="LJ84" t="s">
        <v>546</v>
      </c>
      <c r="LK84">
        <v>2</v>
      </c>
      <c r="LX84" s="194" t="s">
        <v>913</v>
      </c>
    </row>
    <row r="85" spans="19:336">
      <c r="S85" t="s">
        <v>96</v>
      </c>
      <c r="T85">
        <v>2228</v>
      </c>
      <c r="V85" s="1"/>
      <c r="BD85" t="s">
        <v>560</v>
      </c>
      <c r="BE85" t="str">
        <f t="shared" si="18"/>
        <v>Timber_Blade</v>
      </c>
      <c r="DO85" s="207" t="s">
        <v>894</v>
      </c>
      <c r="DP85" s="207">
        <v>8</v>
      </c>
      <c r="DQ85" s="207">
        <f t="shared" si="17"/>
        <v>1</v>
      </c>
      <c r="FF85" s="395" t="s">
        <v>1884</v>
      </c>
      <c r="FG85" t="str">
        <f>$FV$22</f>
        <v>Additional Headboard 140mm x 20mm</v>
      </c>
      <c r="HX85" s="348" t="s">
        <v>2033</v>
      </c>
      <c r="HY85" t="str">
        <f>AAE43</f>
        <v>AirHingeColour</v>
      </c>
      <c r="LX85" s="194" t="s">
        <v>914</v>
      </c>
    </row>
    <row r="86" spans="19:336">
      <c r="S86" t="s">
        <v>21</v>
      </c>
      <c r="T86">
        <v>2229</v>
      </c>
      <c r="V86" s="2"/>
      <c r="BD86" t="s">
        <v>565</v>
      </c>
      <c r="BE86" t="str">
        <f t="shared" si="18"/>
        <v>Timber_Blade</v>
      </c>
      <c r="DO86" s="207" t="s">
        <v>540</v>
      </c>
      <c r="DP86" s="207">
        <v>6</v>
      </c>
      <c r="DQ86" s="207">
        <f t="shared" si="17"/>
        <v>1</v>
      </c>
      <c r="FF86" t="s">
        <v>622</v>
      </c>
      <c r="FG86" t="str">
        <f>$FW$1</f>
        <v>Additional Headboard 180mm x 19mm Material</v>
      </c>
      <c r="HX86" s="348" t="s">
        <v>766</v>
      </c>
      <c r="HY86" t="str">
        <f>IS2</f>
        <v>Stepped Rabbet Hinge</v>
      </c>
      <c r="LX86" s="194" t="s">
        <v>1011</v>
      </c>
    </row>
    <row r="87" spans="19:336">
      <c r="V87" s="1"/>
      <c r="BD87" t="s">
        <v>872</v>
      </c>
      <c r="BE87" t="str">
        <f t="shared" si="18"/>
        <v>Timber_Blade</v>
      </c>
      <c r="DO87" s="207" t="s">
        <v>895</v>
      </c>
      <c r="DP87" s="207">
        <v>7</v>
      </c>
      <c r="DQ87" s="207">
        <f t="shared" si="17"/>
        <v>2</v>
      </c>
      <c r="FF87" s="395" t="s">
        <v>1885</v>
      </c>
      <c r="FG87" t="str">
        <f>$FW$22</f>
        <v>Additional Headboard 180mm x 20mm</v>
      </c>
      <c r="HX87" s="348" t="s">
        <v>761</v>
      </c>
      <c r="HY87" t="str">
        <f>IT2</f>
        <v>Top Fixed Pivot Bracket</v>
      </c>
      <c r="LX87" s="194" t="s">
        <v>1012</v>
      </c>
    </row>
    <row r="88" spans="19:336">
      <c r="V88" s="1"/>
      <c r="BD88" t="s">
        <v>557</v>
      </c>
      <c r="BE88" t="str">
        <f t="shared" si="18"/>
        <v>Timber_Blade</v>
      </c>
      <c r="DO88" s="207" t="s">
        <v>488</v>
      </c>
      <c r="DP88" s="207">
        <v>2</v>
      </c>
      <c r="DQ88" s="207">
        <f t="shared" si="17"/>
        <v>0</v>
      </c>
      <c r="FF88" t="s">
        <v>623</v>
      </c>
      <c r="FG88" t="str">
        <f>$FX$1</f>
        <v>Additional Headboard 220mm x 19mm Material</v>
      </c>
      <c r="HX88" s="348" t="s">
        <v>762</v>
      </c>
      <c r="HY88" t="str">
        <f>IU2</f>
        <v>Top Track Stopper Block</v>
      </c>
      <c r="LX88" s="194" t="s">
        <v>1017</v>
      </c>
    </row>
    <row r="89" spans="19:336">
      <c r="V89" s="1"/>
      <c r="BD89" t="s">
        <v>564</v>
      </c>
      <c r="BE89" t="str">
        <f t="shared" si="18"/>
        <v>Timber_Blade</v>
      </c>
      <c r="DO89" s="207" t="s">
        <v>909</v>
      </c>
      <c r="DP89" s="207">
        <v>2</v>
      </c>
      <c r="DQ89" s="207">
        <f t="shared" si="17"/>
        <v>0</v>
      </c>
      <c r="FF89" s="395" t="s">
        <v>1886</v>
      </c>
      <c r="FG89" t="str">
        <f>$FX$22</f>
        <v>Additional Headboard 220mm x 20mm</v>
      </c>
      <c r="HX89" s="348" t="s">
        <v>763</v>
      </c>
      <c r="HY89" t="str">
        <f>IV2</f>
        <v>Top Wheel</v>
      </c>
      <c r="LX89" s="194" t="s">
        <v>1018</v>
      </c>
    </row>
    <row r="90" spans="19:336">
      <c r="V90" s="1"/>
      <c r="BD90" t="s">
        <v>1918</v>
      </c>
      <c r="BE90" t="str">
        <f t="shared" si="18"/>
        <v>Timber_Blade</v>
      </c>
      <c r="DO90" s="207" t="s">
        <v>896</v>
      </c>
      <c r="DP90" s="207">
        <v>3</v>
      </c>
      <c r="DQ90" s="207">
        <f t="shared" si="17"/>
        <v>0</v>
      </c>
      <c r="FF90" s="395" t="s">
        <v>1895</v>
      </c>
      <c r="FG90" t="str">
        <f>$GN$22</f>
        <v>Bi Fold Frame 60mm x 12mm</v>
      </c>
      <c r="LX90" s="194" t="s">
        <v>915</v>
      </c>
    </row>
    <row r="91" spans="19:336">
      <c r="V91" s="1"/>
      <c r="BD91" t="s">
        <v>1917</v>
      </c>
      <c r="BE91" t="str">
        <f t="shared" si="18"/>
        <v>Timber_Blade</v>
      </c>
      <c r="DO91" s="207" t="s">
        <v>900</v>
      </c>
      <c r="DP91" s="207">
        <v>3</v>
      </c>
      <c r="DQ91" s="207">
        <f t="shared" si="17"/>
        <v>0</v>
      </c>
      <c r="FF91" t="s">
        <v>829</v>
      </c>
      <c r="FG91" t="str">
        <f>$FY$1</f>
        <v>Bi Fold Frame 60mm x 9.5mm Material</v>
      </c>
      <c r="LX91" s="194" t="s">
        <v>916</v>
      </c>
    </row>
    <row r="92" spans="19:336">
      <c r="V92" s="3"/>
      <c r="BD92" t="s">
        <v>1920</v>
      </c>
      <c r="BE92" t="str">
        <f t="shared" si="18"/>
        <v>Timber_Blade</v>
      </c>
      <c r="DO92" s="207" t="s">
        <v>887</v>
      </c>
      <c r="DP92" s="207">
        <v>3</v>
      </c>
      <c r="DQ92" s="207">
        <f t="shared" si="17"/>
        <v>0</v>
      </c>
      <c r="FF92" t="s">
        <v>315</v>
      </c>
      <c r="FG92" t="str">
        <f>$FZ$1</f>
        <v>Bullnose Z Frame Material</v>
      </c>
      <c r="LX92" s="194" t="s">
        <v>917</v>
      </c>
    </row>
    <row r="93" spans="19:336">
      <c r="V93" s="5"/>
      <c r="BD93" t="s">
        <v>1919</v>
      </c>
      <c r="BE93" t="str">
        <f t="shared" si="18"/>
        <v>Timber_Blade</v>
      </c>
      <c r="DO93" s="207" t="s">
        <v>911</v>
      </c>
      <c r="DP93" s="207">
        <v>3</v>
      </c>
      <c r="DQ93" s="207">
        <f t="shared" si="17"/>
        <v>0</v>
      </c>
      <c r="FF93" s="395" t="s">
        <v>1887</v>
      </c>
      <c r="FG93" t="str">
        <f>$FY$22</f>
        <v>Classic Deco Frame</v>
      </c>
      <c r="LX93" s="194" t="s">
        <v>514</v>
      </c>
    </row>
    <row r="94" spans="19:336">
      <c r="V94" s="4"/>
      <c r="BD94" t="s">
        <v>1970</v>
      </c>
      <c r="BE94" t="str">
        <f t="shared" si="18"/>
        <v>Timber_Blade</v>
      </c>
      <c r="DO94" s="207" t="s">
        <v>897</v>
      </c>
      <c r="DP94" s="207">
        <v>4</v>
      </c>
      <c r="DQ94" s="207">
        <f t="shared" si="17"/>
        <v>0</v>
      </c>
      <c r="FF94" t="s">
        <v>1938</v>
      </c>
      <c r="FG94" t="str">
        <f>$GY$1</f>
        <v>Cover Strip To Fit Face Fit Frame 12.5mm x 5mm</v>
      </c>
      <c r="HX94" t="s">
        <v>1783</v>
      </c>
      <c r="HY94" t="s">
        <v>1546</v>
      </c>
      <c r="LX94" s="194"/>
    </row>
    <row r="95" spans="19:336">
      <c r="V95" s="4"/>
      <c r="BD95" t="s">
        <v>1971</v>
      </c>
      <c r="BE95" t="str">
        <f t="shared" si="18"/>
        <v>Timber_Blade</v>
      </c>
      <c r="DO95" s="207" t="s">
        <v>924</v>
      </c>
      <c r="DP95" s="207">
        <v>4</v>
      </c>
      <c r="DQ95" s="207">
        <f t="shared" si="17"/>
        <v>0</v>
      </c>
      <c r="FF95" s="395" t="s">
        <v>1896</v>
      </c>
      <c r="FG95" t="str">
        <f>$GI$22</f>
        <v>Cover Strip To Fit Face Fit Frame 15.4mm x 6mm</v>
      </c>
      <c r="HX95" t="s">
        <v>2028</v>
      </c>
      <c r="HY95" t="s">
        <v>2029</v>
      </c>
      <c r="LX95" s="194"/>
    </row>
    <row r="96" spans="19:336">
      <c r="V96" s="4"/>
      <c r="BD96" t="s">
        <v>1972</v>
      </c>
      <c r="BE96" t="str">
        <f t="shared" si="18"/>
        <v>Timber_Blade</v>
      </c>
      <c r="DO96" s="207" t="s">
        <v>925</v>
      </c>
      <c r="DP96" s="207">
        <v>4</v>
      </c>
      <c r="DQ96" s="207">
        <f t="shared" si="17"/>
        <v>0</v>
      </c>
      <c r="FF96" t="s">
        <v>1939</v>
      </c>
      <c r="FG96" t="str">
        <f>$GZ$1</f>
        <v>Cover Strip To Fit Face Fit Frame 17mm x 5mm</v>
      </c>
      <c r="HX96" t="s">
        <v>2030</v>
      </c>
      <c r="HY96" t="s">
        <v>752</v>
      </c>
      <c r="LX96" s="194"/>
    </row>
    <row r="97" spans="22:336">
      <c r="V97" s="4"/>
      <c r="BD97" t="s">
        <v>1973</v>
      </c>
      <c r="BE97" t="str">
        <f t="shared" si="18"/>
        <v>Timber_Blade</v>
      </c>
      <c r="DO97" s="207" t="s">
        <v>926</v>
      </c>
      <c r="DP97" s="207">
        <v>4</v>
      </c>
      <c r="DQ97" s="207">
        <f t="shared" si="17"/>
        <v>0</v>
      </c>
      <c r="FF97" s="395" t="s">
        <v>1899</v>
      </c>
      <c r="FG97" t="str">
        <f>$GL$22</f>
        <v>Divider RailMid Rail Centre Rail 76.2mm x 21mm Standard Profile</v>
      </c>
      <c r="HX97" t="s">
        <v>2025</v>
      </c>
      <c r="HY97" t="s">
        <v>1871</v>
      </c>
      <c r="LX97" s="194"/>
    </row>
    <row r="98" spans="22:336">
      <c r="V98" s="4"/>
      <c r="BD98" t="s">
        <v>1111</v>
      </c>
      <c r="BE98" t="str">
        <f t="shared" si="18"/>
        <v>Timber_Blade</v>
      </c>
      <c r="DO98" s="207" t="s">
        <v>927</v>
      </c>
      <c r="DP98" s="207">
        <v>4</v>
      </c>
      <c r="DQ98" s="207">
        <f t="shared" si="17"/>
        <v>0</v>
      </c>
      <c r="FF98" s="348" t="s">
        <v>1792</v>
      </c>
      <c r="FG98" t="str">
        <f>$GX$1</f>
        <v>Divider Rail Mid Rail Centre Rail 79.5mm x 21mm Standard Profile</v>
      </c>
      <c r="HX98" t="s">
        <v>683</v>
      </c>
      <c r="HY98" t="s">
        <v>2027</v>
      </c>
      <c r="LX98" s="194"/>
    </row>
    <row r="99" spans="22:336">
      <c r="V99" s="4"/>
      <c r="BD99" t="s">
        <v>1974</v>
      </c>
      <c r="BE99" t="str">
        <f t="shared" si="18"/>
        <v>Timber_Blade</v>
      </c>
      <c r="DO99" s="207" t="s">
        <v>486</v>
      </c>
      <c r="DP99" s="207">
        <v>4</v>
      </c>
      <c r="DQ99" s="207">
        <f t="shared" si="17"/>
        <v>0</v>
      </c>
      <c r="FF99" s="348" t="s">
        <v>1796</v>
      </c>
      <c r="FG99" t="str">
        <f>$GX$12</f>
        <v>Divider RailMid Rail Centre Rail 98mm x 19mm Reinforced Curved Profile</v>
      </c>
      <c r="HX99" t="s">
        <v>2033</v>
      </c>
      <c r="HY99" t="s">
        <v>1872</v>
      </c>
      <c r="LX99" s="194"/>
    </row>
    <row r="100" spans="22:336">
      <c r="V100" s="4"/>
      <c r="BD100" t="s">
        <v>1975</v>
      </c>
      <c r="BE100" t="str">
        <f t="shared" si="18"/>
        <v>Timber_Blade</v>
      </c>
      <c r="DO100" s="207" t="s">
        <v>886</v>
      </c>
      <c r="DP100" s="207">
        <v>3</v>
      </c>
      <c r="DQ100" s="207">
        <f t="shared" si="17"/>
        <v>0</v>
      </c>
      <c r="FF100" s="395" t="s">
        <v>1931</v>
      </c>
      <c r="FG100" t="str">
        <f>$GK$22</f>
        <v>Hanging Strip 30mm x 25.4mm Material</v>
      </c>
      <c r="HX100" t="s">
        <v>2026</v>
      </c>
      <c r="HY100" t="s">
        <v>753</v>
      </c>
    </row>
    <row r="101" spans="22:336">
      <c r="BD101" t="s">
        <v>1976</v>
      </c>
      <c r="BE101" t="str">
        <f t="shared" si="18"/>
        <v>Timber_Blade</v>
      </c>
      <c r="DO101" s="207" t="s">
        <v>913</v>
      </c>
      <c r="DP101" s="207">
        <v>3</v>
      </c>
      <c r="DQ101" s="207">
        <f t="shared" si="17"/>
        <v>0</v>
      </c>
      <c r="FF101" s="35" t="s">
        <v>1934</v>
      </c>
      <c r="FG101" s="35" t="str">
        <f>$FA$102</f>
        <v>Hanging Strip 35mm x 25.5mm Material</v>
      </c>
      <c r="HY101" t="s">
        <v>754</v>
      </c>
    </row>
    <row r="102" spans="22:336">
      <c r="BD102" t="s">
        <v>1977</v>
      </c>
      <c r="BE102" t="str">
        <f t="shared" si="18"/>
        <v>Timber_Blade</v>
      </c>
      <c r="DO102" s="207" t="s">
        <v>891</v>
      </c>
      <c r="DP102" s="207">
        <v>3</v>
      </c>
      <c r="DQ102" s="207">
        <f t="shared" si="17"/>
        <v>0</v>
      </c>
      <c r="FA102" t="s">
        <v>1936</v>
      </c>
      <c r="FB102" t="s">
        <v>708</v>
      </c>
      <c r="FC102" t="s">
        <v>1937</v>
      </c>
      <c r="FF102" t="s">
        <v>624</v>
      </c>
      <c r="FG102" t="str">
        <f>$GA$1</f>
        <v>Hanging Strip 35mm x 28.6mm Material</v>
      </c>
      <c r="HY102" t="s">
        <v>2064</v>
      </c>
    </row>
    <row r="103" spans="22:336">
      <c r="BA103" t="s">
        <v>1991</v>
      </c>
      <c r="BD103" t="s">
        <v>1978</v>
      </c>
      <c r="BE103" t="str">
        <f t="shared" si="18"/>
        <v>Timber_Blade</v>
      </c>
      <c r="DO103" s="207" t="s">
        <v>910</v>
      </c>
      <c r="DP103" s="207">
        <v>3</v>
      </c>
      <c r="DQ103" s="207">
        <f t="shared" si="17"/>
        <v>0</v>
      </c>
      <c r="FA103" t="s">
        <v>228</v>
      </c>
      <c r="FB103" t="s">
        <v>1543</v>
      </c>
      <c r="FC103" t="s">
        <v>1543</v>
      </c>
      <c r="FF103" t="s">
        <v>1531</v>
      </c>
      <c r="FG103" t="str">
        <f>$FZ$13</f>
        <v>Large Bullnose Z Frame Material</v>
      </c>
      <c r="HY103" t="s">
        <v>755</v>
      </c>
    </row>
    <row r="104" spans="22:336">
      <c r="BA104" t="s">
        <v>609</v>
      </c>
      <c r="BD104" t="s">
        <v>1979</v>
      </c>
      <c r="BE104" t="str">
        <f t="shared" si="18"/>
        <v>Timber_Blade</v>
      </c>
      <c r="DO104" s="207" t="s">
        <v>912</v>
      </c>
      <c r="DP104" s="207">
        <v>3</v>
      </c>
      <c r="DQ104" s="207">
        <f t="shared" si="17"/>
        <v>0</v>
      </c>
      <c r="FF104" t="s">
        <v>625</v>
      </c>
      <c r="FG104" t="str">
        <f>$GB$1</f>
        <v>Large Face Fit L Frame Material</v>
      </c>
      <c r="HY104" t="s">
        <v>1916</v>
      </c>
    </row>
    <row r="105" spans="22:336">
      <c r="BD105" t="s">
        <v>1980</v>
      </c>
      <c r="BE105" t="str">
        <f t="shared" si="18"/>
        <v>Timber_Blade</v>
      </c>
      <c r="DO105" s="207" t="s">
        <v>542</v>
      </c>
      <c r="DP105" s="207">
        <v>6</v>
      </c>
      <c r="DQ105" s="207">
        <f t="shared" si="17"/>
        <v>0</v>
      </c>
      <c r="FF105" t="s">
        <v>316</v>
      </c>
      <c r="FG105" t="str">
        <f>$GC$1</f>
        <v>Large Z Frame Material</v>
      </c>
      <c r="HY105" t="s">
        <v>767</v>
      </c>
    </row>
    <row r="106" spans="22:336">
      <c r="BD106" t="s">
        <v>1981</v>
      </c>
      <c r="BE106" t="str">
        <f t="shared" si="18"/>
        <v>Timber_Blade</v>
      </c>
      <c r="DO106" s="207" t="s">
        <v>928</v>
      </c>
      <c r="DP106" s="207">
        <v>6</v>
      </c>
      <c r="DQ106" s="207">
        <f t="shared" si="17"/>
        <v>0</v>
      </c>
      <c r="FF106" t="s">
        <v>626</v>
      </c>
      <c r="FG106" t="str">
        <f>$GD$1</f>
        <v>Light Stop 19mm x 19mm Material</v>
      </c>
      <c r="HY106" t="s">
        <v>397</v>
      </c>
    </row>
    <row r="107" spans="22:336">
      <c r="BD107" t="s">
        <v>1983</v>
      </c>
      <c r="BE107" t="str">
        <f>$BB$80</f>
        <v>Timber_Laminated_Blade</v>
      </c>
      <c r="DO107" s="207" t="s">
        <v>904</v>
      </c>
      <c r="DP107" s="207">
        <v>4</v>
      </c>
      <c r="DQ107" s="207">
        <f t="shared" si="17"/>
        <v>2</v>
      </c>
      <c r="FF107" t="s">
        <v>627</v>
      </c>
      <c r="FG107" t="str">
        <f>$GE$1</f>
        <v>Light Stop 19mm x 30mm Material</v>
      </c>
      <c r="HY107" t="s">
        <v>669</v>
      </c>
    </row>
    <row r="108" spans="22:336">
      <c r="BD108" t="s">
        <v>1984</v>
      </c>
      <c r="BE108" t="str">
        <f t="shared" ref="BE108:BE110" si="19">$BB$80</f>
        <v>Timber_Laminated_Blade</v>
      </c>
      <c r="DO108" s="207" t="s">
        <v>487</v>
      </c>
      <c r="DP108" s="207">
        <v>4</v>
      </c>
      <c r="DQ108" s="207">
        <f t="shared" si="17"/>
        <v>1</v>
      </c>
      <c r="FF108" s="35" t="s">
        <v>628</v>
      </c>
      <c r="FG108" s="35" t="str">
        <f>$FB$102</f>
        <v>Light Stop 19mm x 9.5mm Material</v>
      </c>
      <c r="HY108" t="s">
        <v>670</v>
      </c>
    </row>
    <row r="109" spans="22:336">
      <c r="BD109" t="s">
        <v>1985</v>
      </c>
      <c r="BE109" t="str">
        <f t="shared" si="19"/>
        <v>Timber_Laminated_Blade</v>
      </c>
      <c r="DO109" s="207" t="s">
        <v>929</v>
      </c>
      <c r="DP109" s="207">
        <v>8</v>
      </c>
      <c r="DQ109" s="207">
        <f t="shared" si="17"/>
        <v>0</v>
      </c>
      <c r="FF109" s="35" t="s">
        <v>1935</v>
      </c>
      <c r="FG109" s="35" t="str">
        <f>$FC$102</f>
        <v>Light Stop 20mm x 12mm Material</v>
      </c>
      <c r="HY109" t="s">
        <v>671</v>
      </c>
    </row>
    <row r="110" spans="22:336">
      <c r="BD110" t="s">
        <v>1986</v>
      </c>
      <c r="BE110" t="str">
        <f t="shared" si="19"/>
        <v>Timber_Laminated_Blade</v>
      </c>
      <c r="DO110" s="207" t="s">
        <v>898</v>
      </c>
      <c r="DP110" s="207">
        <v>8</v>
      </c>
      <c r="DQ110" s="207">
        <f t="shared" si="17"/>
        <v>1</v>
      </c>
      <c r="FF110" s="396" t="s">
        <v>1888</v>
      </c>
      <c r="FG110" t="str">
        <f>$GA$22</f>
        <v>Light Stop 20mm x 20mm</v>
      </c>
      <c r="HY110" t="s">
        <v>672</v>
      </c>
    </row>
    <row r="111" spans="22:336">
      <c r="BD111" t="s">
        <v>1806</v>
      </c>
      <c r="BE111" t="str">
        <f t="shared" ref="BE111" si="20">$EW$2</f>
        <v>Timber_Blade</v>
      </c>
      <c r="DO111" s="207" t="s">
        <v>888</v>
      </c>
      <c r="DP111" s="207">
        <v>6</v>
      </c>
      <c r="DQ111" s="207">
        <f t="shared" si="17"/>
        <v>1</v>
      </c>
      <c r="FF111" s="396" t="s">
        <v>1889</v>
      </c>
      <c r="FG111" t="str">
        <f>$GB$22</f>
        <v>Light Stop 20mm x 30mm</v>
      </c>
      <c r="HY111" t="s">
        <v>756</v>
      </c>
    </row>
    <row r="112" spans="22:336">
      <c r="BD112" t="s">
        <v>556</v>
      </c>
      <c r="BE112" t="str">
        <f>$BA$103</f>
        <v>Eco_Air_Blade</v>
      </c>
      <c r="DO112" s="207" t="s">
        <v>899</v>
      </c>
      <c r="DP112" s="207">
        <v>7</v>
      </c>
      <c r="DQ112" s="207">
        <f t="shared" si="17"/>
        <v>2</v>
      </c>
      <c r="FF112" t="s">
        <v>629</v>
      </c>
      <c r="FG112" t="str">
        <f>$GG$1</f>
        <v>Light Stop 20mm x 5mm Material</v>
      </c>
      <c r="HY112" t="s">
        <v>674</v>
      </c>
    </row>
    <row r="113" spans="56:233">
      <c r="BD113" t="s">
        <v>555</v>
      </c>
      <c r="BE113" t="str">
        <f t="shared" ref="BE113:BE115" si="21">$BA$103</f>
        <v>Eco_Air_Blade</v>
      </c>
      <c r="DO113" s="207" t="s">
        <v>892</v>
      </c>
      <c r="DP113" s="207">
        <v>3</v>
      </c>
      <c r="DQ113" s="207">
        <f t="shared" si="17"/>
        <v>1</v>
      </c>
      <c r="FF113" s="396" t="s">
        <v>1890</v>
      </c>
      <c r="FG113" t="str">
        <f>$GC$22</f>
        <v>Light Stop 31.8mm x 12mm</v>
      </c>
      <c r="HY113" t="s">
        <v>768</v>
      </c>
    </row>
    <row r="114" spans="56:233">
      <c r="BD114" t="s">
        <v>871</v>
      </c>
      <c r="BE114" t="str">
        <f t="shared" si="21"/>
        <v>Eco_Air_Blade</v>
      </c>
      <c r="DO114" s="207" t="s">
        <v>890</v>
      </c>
      <c r="DP114" s="207">
        <v>3</v>
      </c>
      <c r="DQ114" s="207">
        <f t="shared" si="17"/>
        <v>1</v>
      </c>
      <c r="FF114" t="s">
        <v>630</v>
      </c>
      <c r="FG114" t="str">
        <f>$GH$1</f>
        <v>Light Stop 31.8mm x 9.5mm Material</v>
      </c>
      <c r="HY114" t="s">
        <v>757</v>
      </c>
    </row>
    <row r="115" spans="56:233">
      <c r="BD115" t="s">
        <v>554</v>
      </c>
      <c r="BE115" t="str">
        <f t="shared" si="21"/>
        <v>Eco_Air_Blade</v>
      </c>
      <c r="DO115" s="207" t="s">
        <v>903</v>
      </c>
      <c r="DP115" s="207">
        <v>3</v>
      </c>
      <c r="DQ115" s="207">
        <f t="shared" si="17"/>
        <v>1</v>
      </c>
      <c r="FF115" t="s">
        <v>631</v>
      </c>
      <c r="FG115" t="str">
        <f>$GI$1</f>
        <v>Light Stop 40mm x 30mm Material</v>
      </c>
      <c r="HY115" t="s">
        <v>1793</v>
      </c>
    </row>
    <row r="116" spans="56:233">
      <c r="DO116" s="207" t="s">
        <v>889</v>
      </c>
      <c r="DP116" s="207">
        <v>4</v>
      </c>
      <c r="DQ116" s="207">
        <f t="shared" si="17"/>
        <v>2</v>
      </c>
      <c r="FF116" t="s">
        <v>632</v>
      </c>
      <c r="FG116" t="str">
        <f>$GJ$1</f>
        <v>Light Stop 50mm x 30mm Material</v>
      </c>
      <c r="HY116" t="s">
        <v>679</v>
      </c>
    </row>
    <row r="117" spans="56:233">
      <c r="DO117" s="207" t="s">
        <v>902</v>
      </c>
      <c r="DP117" s="207">
        <v>4</v>
      </c>
      <c r="DQ117" s="207">
        <f t="shared" si="17"/>
        <v>2</v>
      </c>
      <c r="FF117" s="370" t="s">
        <v>633</v>
      </c>
      <c r="FG117" t="str">
        <f>$GK$1</f>
        <v>Medium Face Fit L Frame Material</v>
      </c>
      <c r="HY117" t="s">
        <v>683</v>
      </c>
    </row>
    <row r="118" spans="56:233">
      <c r="DO118" s="35" t="s">
        <v>1073</v>
      </c>
      <c r="DP118">
        <v>3</v>
      </c>
      <c r="DQ118" s="207">
        <f t="shared" si="17"/>
        <v>0</v>
      </c>
      <c r="FF118" s="370" t="s">
        <v>323</v>
      </c>
      <c r="FG118" t="str">
        <f>$GL$1</f>
        <v>Medium L Frame Material</v>
      </c>
      <c r="HY118" t="s">
        <v>758</v>
      </c>
    </row>
    <row r="119" spans="56:233">
      <c r="DO119" s="214" t="s">
        <v>1003</v>
      </c>
      <c r="DP119" s="214">
        <v>2</v>
      </c>
      <c r="DQ119" s="207">
        <f t="shared" si="17"/>
        <v>0</v>
      </c>
      <c r="FF119" s="396" t="s">
        <v>1819</v>
      </c>
      <c r="FG119" t="str">
        <f>$GD$22</f>
        <v>MediumLarge Face Fit L Frame</v>
      </c>
      <c r="HY119" t="s">
        <v>759</v>
      </c>
    </row>
    <row r="120" spans="56:233">
      <c r="DO120" s="214" t="s">
        <v>901</v>
      </c>
      <c r="DP120" s="214">
        <v>2</v>
      </c>
      <c r="DQ120" s="207">
        <f t="shared" si="17"/>
        <v>1</v>
      </c>
      <c r="FF120" s="396" t="s">
        <v>1818</v>
      </c>
      <c r="FG120" t="str">
        <f>$GE$22</f>
        <v>MediumLarge L Frame</v>
      </c>
      <c r="HY120" t="s">
        <v>760</v>
      </c>
    </row>
    <row r="121" spans="56:233" ht="15">
      <c r="DO121" s="214" t="s">
        <v>916</v>
      </c>
      <c r="DP121" s="214">
        <v>2</v>
      </c>
      <c r="DQ121" s="207">
        <f t="shared" si="17"/>
        <v>1</v>
      </c>
      <c r="FF121" s="407" t="s">
        <v>2036</v>
      </c>
      <c r="FG121" t="str">
        <f>GE30</f>
        <v xml:space="preserve">MediumLarge L Frame Flat </v>
      </c>
      <c r="HY121" t="s">
        <v>1501</v>
      </c>
    </row>
    <row r="122" spans="56:233">
      <c r="DO122" s="214" t="s">
        <v>914</v>
      </c>
      <c r="DP122" s="214">
        <v>2</v>
      </c>
      <c r="DQ122" s="207">
        <f t="shared" si="17"/>
        <v>1</v>
      </c>
      <c r="FF122" t="s">
        <v>634</v>
      </c>
      <c r="FG122" t="str">
        <f>$GM$1</f>
        <v>Mounting Block 18mm x 18mm Material</v>
      </c>
      <c r="HY122" t="s">
        <v>766</v>
      </c>
    </row>
    <row r="123" spans="56:233">
      <c r="DO123" s="214" t="s">
        <v>1005</v>
      </c>
      <c r="DP123" s="207">
        <v>3</v>
      </c>
      <c r="DQ123" s="207">
        <f t="shared" si="17"/>
        <v>1</v>
      </c>
      <c r="FF123" t="s">
        <v>1908</v>
      </c>
      <c r="FG123" t="str">
        <f>$GJ$22</f>
        <v>Mounting Block 20mm x 20mm Material</v>
      </c>
      <c r="HY123" t="s">
        <v>761</v>
      </c>
    </row>
    <row r="124" spans="56:233">
      <c r="DO124" s="207" t="s">
        <v>1006</v>
      </c>
      <c r="DP124" s="207">
        <v>3</v>
      </c>
      <c r="DQ124" s="207">
        <f t="shared" si="17"/>
        <v>1</v>
      </c>
      <c r="FF124" t="s">
        <v>635</v>
      </c>
      <c r="FG124" t="str">
        <f>$GN$1</f>
        <v>Mounting Block 30mm x 30mm Material</v>
      </c>
      <c r="HY124" t="s">
        <v>762</v>
      </c>
    </row>
    <row r="125" spans="56:233">
      <c r="DO125" s="207" t="s">
        <v>1007</v>
      </c>
      <c r="DP125" s="207">
        <v>3</v>
      </c>
      <c r="DQ125" s="207">
        <f t="shared" si="17"/>
        <v>1</v>
      </c>
      <c r="FF125" t="s">
        <v>636</v>
      </c>
      <c r="FG125" t="str">
        <f>$GP$1</f>
        <v>Small Face Fit L Frame Material</v>
      </c>
      <c r="HY125" t="s">
        <v>763</v>
      </c>
    </row>
    <row r="126" spans="56:233">
      <c r="DO126" s="207" t="s">
        <v>1008</v>
      </c>
      <c r="DP126" s="207">
        <v>3</v>
      </c>
      <c r="DQ126" s="207">
        <f t="shared" si="17"/>
        <v>1</v>
      </c>
      <c r="FF126" t="s">
        <v>322</v>
      </c>
      <c r="FG126" t="str">
        <f>$GQ$1</f>
        <v>Small L Frame Material</v>
      </c>
    </row>
    <row r="127" spans="56:233">
      <c r="DO127" s="207" t="s">
        <v>1009</v>
      </c>
      <c r="DP127" s="207">
        <v>3</v>
      </c>
      <c r="DQ127" s="207">
        <f t="shared" si="17"/>
        <v>1</v>
      </c>
      <c r="FF127" t="s">
        <v>1928</v>
      </c>
      <c r="FG127" t="str">
        <f>$FZ$22</f>
        <v>Small L Frame Beaded Option</v>
      </c>
    </row>
    <row r="128" spans="56:233">
      <c r="DO128" s="207" t="s">
        <v>1010</v>
      </c>
      <c r="DP128" s="207">
        <v>3</v>
      </c>
      <c r="DQ128" s="207">
        <f t="shared" si="17"/>
        <v>1</v>
      </c>
      <c r="FF128" t="s">
        <v>637</v>
      </c>
      <c r="FG128" t="str">
        <f>$GR$1</f>
        <v>T Post Material</v>
      </c>
    </row>
    <row r="129" spans="119:163">
      <c r="DO129" s="207" t="s">
        <v>1011</v>
      </c>
      <c r="DP129" s="207">
        <v>3</v>
      </c>
      <c r="DQ129" s="207">
        <f t="shared" si="17"/>
        <v>1</v>
      </c>
      <c r="FF129" s="348" t="s">
        <v>1791</v>
      </c>
      <c r="FG129" t="str">
        <f>$GS$1</f>
        <v>Top Bottom Rail 137.5mm x 21mm Material</v>
      </c>
    </row>
    <row r="130" spans="119:163">
      <c r="DO130" t="s">
        <v>1012</v>
      </c>
      <c r="DP130">
        <v>3</v>
      </c>
      <c r="DQ130" s="207">
        <f t="shared" si="17"/>
        <v>1</v>
      </c>
      <c r="FF130" s="348" t="s">
        <v>1795</v>
      </c>
      <c r="FG130" t="str">
        <f>$GS$12</f>
        <v>TopBottom Rail 152mm x 19mmReinforced Profile</v>
      </c>
    </row>
    <row r="131" spans="119:163">
      <c r="DO131" t="s">
        <v>917</v>
      </c>
      <c r="DP131">
        <v>3</v>
      </c>
      <c r="DQ131" s="207">
        <f t="shared" si="17"/>
        <v>2</v>
      </c>
      <c r="FF131" s="395" t="s">
        <v>1900</v>
      </c>
      <c r="FG131" t="str">
        <f>$GM$22</f>
        <v>Top Bottom Rail 200mm x 21mm Standard Profile</v>
      </c>
    </row>
    <row r="132" spans="119:163">
      <c r="DO132" t="s">
        <v>915</v>
      </c>
      <c r="DP132">
        <v>3</v>
      </c>
      <c r="DQ132" s="207">
        <f t="shared" si="17"/>
        <v>2</v>
      </c>
      <c r="FF132" t="s">
        <v>638</v>
      </c>
      <c r="FG132" t="str">
        <f>$GT$1</f>
        <v>Tracking For Bi Fold Sliding Shutters Material</v>
      </c>
    </row>
    <row r="133" spans="119:163">
      <c r="DO133" t="s">
        <v>1013</v>
      </c>
      <c r="DP133">
        <v>4</v>
      </c>
      <c r="DQ133" s="207">
        <f t="shared" ref="DQ133:DQ158" si="22">LEN(DO133)-LEN(SUBSTITUTE(DO133,"T",""))</f>
        <v>1</v>
      </c>
      <c r="FF133" t="s">
        <v>639</v>
      </c>
      <c r="FG133" t="str">
        <f>$GU$1</f>
        <v>U Channel 40mm x 15mm Material</v>
      </c>
    </row>
    <row r="134" spans="119:163">
      <c r="DO134" t="s">
        <v>1014</v>
      </c>
      <c r="DP134">
        <v>4</v>
      </c>
      <c r="DQ134" s="207">
        <f t="shared" si="22"/>
        <v>1</v>
      </c>
      <c r="FF134" t="s">
        <v>640</v>
      </c>
      <c r="FG134" t="str">
        <f>$GV$1</f>
        <v>U Channel 40mm x 25mm Material</v>
      </c>
    </row>
    <row r="135" spans="119:163">
      <c r="DO135" s="395" t="s">
        <v>1893</v>
      </c>
      <c r="DP135" s="395">
        <v>4</v>
      </c>
      <c r="DQ135" s="397">
        <f t="shared" si="22"/>
        <v>1</v>
      </c>
      <c r="FF135" s="395" t="s">
        <v>1891</v>
      </c>
      <c r="FG135" t="str">
        <f>$GF$22</f>
        <v>U Channel 40mm x 53mm</v>
      </c>
    </row>
    <row r="136" spans="119:163">
      <c r="DO136" t="s">
        <v>1015</v>
      </c>
      <c r="DP136">
        <v>4</v>
      </c>
      <c r="DQ136" s="207">
        <f t="shared" si="22"/>
        <v>2</v>
      </c>
      <c r="FF136" s="395" t="s">
        <v>1892</v>
      </c>
      <c r="FG136" t="str">
        <f>$GG$22</f>
        <v>U Channel 60mm x 53mm</v>
      </c>
    </row>
    <row r="137" spans="119:163">
      <c r="DO137" t="s">
        <v>1016</v>
      </c>
      <c r="DP137">
        <v>4</v>
      </c>
      <c r="DQ137" s="207">
        <f t="shared" si="22"/>
        <v>2</v>
      </c>
      <c r="FF137" t="s">
        <v>399</v>
      </c>
      <c r="FG137" t="str">
        <f>$GW$1</f>
        <v>Z Sill Frame Material</v>
      </c>
    </row>
    <row r="138" spans="119:163">
      <c r="DO138" t="s">
        <v>1017</v>
      </c>
      <c r="DP138">
        <v>4</v>
      </c>
      <c r="DQ138" s="207">
        <f t="shared" si="22"/>
        <v>2</v>
      </c>
    </row>
    <row r="139" spans="119:163">
      <c r="DO139" t="s">
        <v>1018</v>
      </c>
      <c r="DP139">
        <v>4</v>
      </c>
      <c r="DQ139" s="207">
        <f t="shared" si="22"/>
        <v>2</v>
      </c>
    </row>
    <row r="140" spans="119:163">
      <c r="DO140" t="s">
        <v>1019</v>
      </c>
      <c r="DP140">
        <v>5</v>
      </c>
      <c r="DQ140" s="207">
        <f t="shared" si="22"/>
        <v>2</v>
      </c>
    </row>
    <row r="141" spans="119:163">
      <c r="DO141" t="s">
        <v>1020</v>
      </c>
      <c r="DP141">
        <v>5</v>
      </c>
      <c r="DQ141" s="207">
        <f t="shared" si="22"/>
        <v>2</v>
      </c>
    </row>
    <row r="142" spans="119:163">
      <c r="DO142" t="s">
        <v>1021</v>
      </c>
      <c r="DP142">
        <v>5</v>
      </c>
      <c r="DQ142" s="207">
        <f t="shared" si="22"/>
        <v>2</v>
      </c>
    </row>
    <row r="143" spans="119:163">
      <c r="DO143" t="s">
        <v>1022</v>
      </c>
      <c r="DP143">
        <v>5</v>
      </c>
      <c r="DQ143" s="207">
        <f t="shared" si="22"/>
        <v>2</v>
      </c>
    </row>
    <row r="144" spans="119:163">
      <c r="DO144" t="s">
        <v>1023</v>
      </c>
      <c r="DP144">
        <v>5</v>
      </c>
      <c r="DQ144" s="207">
        <f t="shared" si="22"/>
        <v>2</v>
      </c>
    </row>
    <row r="145" spans="119:339">
      <c r="DO145" t="s">
        <v>1024</v>
      </c>
      <c r="DP145">
        <v>6</v>
      </c>
      <c r="DQ145" s="207">
        <f t="shared" si="22"/>
        <v>2</v>
      </c>
    </row>
    <row r="146" spans="119:339">
      <c r="DO146" t="s">
        <v>1025</v>
      </c>
      <c r="DP146">
        <v>6</v>
      </c>
      <c r="DQ146" s="207">
        <f t="shared" si="22"/>
        <v>2</v>
      </c>
    </row>
    <row r="147" spans="119:339">
      <c r="DO147" t="s">
        <v>1026</v>
      </c>
      <c r="DP147">
        <v>6</v>
      </c>
      <c r="DQ147" s="207">
        <f t="shared" si="22"/>
        <v>3</v>
      </c>
      <c r="LX147" s="190" t="s">
        <v>2001</v>
      </c>
      <c r="LY147" s="195" t="s">
        <v>2002</v>
      </c>
      <c r="LZ147" s="195" t="s">
        <v>932</v>
      </c>
      <c r="MA147" s="195" t="s">
        <v>2042</v>
      </c>
    </row>
    <row r="148" spans="119:339">
      <c r="DO148" t="s">
        <v>1027</v>
      </c>
      <c r="DP148">
        <v>6</v>
      </c>
      <c r="DQ148" s="207">
        <f t="shared" si="22"/>
        <v>3</v>
      </c>
      <c r="LX148" s="195" t="s">
        <v>426</v>
      </c>
      <c r="LZ148" s="195" t="s">
        <v>523</v>
      </c>
      <c r="MA148" s="195" t="s">
        <v>2043</v>
      </c>
    </row>
    <row r="149" spans="119:339">
      <c r="DO149" t="s">
        <v>1028</v>
      </c>
      <c r="DP149">
        <v>8</v>
      </c>
      <c r="DQ149" s="207">
        <f t="shared" si="22"/>
        <v>5</v>
      </c>
      <c r="LX149" s="195" t="s">
        <v>1003</v>
      </c>
      <c r="LZ149" s="195" t="s">
        <v>468</v>
      </c>
    </row>
    <row r="150" spans="119:339">
      <c r="DO150" t="s">
        <v>1029</v>
      </c>
      <c r="DP150">
        <v>8</v>
      </c>
      <c r="DQ150" s="207">
        <f t="shared" si="22"/>
        <v>5</v>
      </c>
      <c r="LX150" s="195" t="s">
        <v>1002</v>
      </c>
      <c r="LZ150" s="195" t="s">
        <v>469</v>
      </c>
    </row>
    <row r="151" spans="119:339">
      <c r="DO151" s="35" t="s">
        <v>1073</v>
      </c>
      <c r="DP151">
        <v>3</v>
      </c>
      <c r="DQ151" s="207">
        <f t="shared" si="22"/>
        <v>0</v>
      </c>
      <c r="LX151" s="195" t="s">
        <v>509</v>
      </c>
      <c r="LZ151" s="195" t="s">
        <v>470</v>
      </c>
    </row>
    <row r="152" spans="119:339">
      <c r="DO152" t="s">
        <v>1074</v>
      </c>
      <c r="DP152">
        <v>3</v>
      </c>
      <c r="DQ152" s="207">
        <f t="shared" si="22"/>
        <v>0</v>
      </c>
      <c r="LX152" s="195" t="s">
        <v>901</v>
      </c>
      <c r="LZ152" s="195" t="s">
        <v>471</v>
      </c>
    </row>
    <row r="153" spans="119:339">
      <c r="DO153" s="35" t="s">
        <v>1075</v>
      </c>
      <c r="DP153">
        <v>3</v>
      </c>
      <c r="DQ153" s="207">
        <f t="shared" si="22"/>
        <v>0</v>
      </c>
      <c r="LX153" s="195" t="s">
        <v>1009</v>
      </c>
      <c r="LZ153" s="195" t="s">
        <v>472</v>
      </c>
    </row>
    <row r="154" spans="119:339">
      <c r="DO154" s="35" t="s">
        <v>1076</v>
      </c>
      <c r="DP154">
        <v>4</v>
      </c>
      <c r="DQ154" s="207">
        <f t="shared" si="22"/>
        <v>0</v>
      </c>
      <c r="LX154" s="195" t="s">
        <v>1010</v>
      </c>
      <c r="LZ154" s="195" t="s">
        <v>473</v>
      </c>
    </row>
    <row r="155" spans="119:339">
      <c r="DO155" s="35" t="s">
        <v>1034</v>
      </c>
      <c r="DP155">
        <v>4</v>
      </c>
      <c r="DQ155" s="207">
        <f t="shared" si="22"/>
        <v>0</v>
      </c>
      <c r="LX155" s="195" t="s">
        <v>1022</v>
      </c>
      <c r="LZ155" s="195" t="s">
        <v>474</v>
      </c>
    </row>
    <row r="156" spans="119:339">
      <c r="DO156" s="212" t="s">
        <v>1072</v>
      </c>
      <c r="DP156">
        <v>3</v>
      </c>
      <c r="DQ156" s="207">
        <f t="shared" si="22"/>
        <v>0</v>
      </c>
      <c r="LX156" s="195" t="s">
        <v>1023</v>
      </c>
      <c r="LZ156" s="195" t="s">
        <v>475</v>
      </c>
    </row>
    <row r="157" spans="119:339">
      <c r="DO157" s="241" t="s">
        <v>1002</v>
      </c>
      <c r="DP157">
        <v>2</v>
      </c>
      <c r="DQ157" s="207">
        <f t="shared" si="22"/>
        <v>0</v>
      </c>
      <c r="LX157" s="195" t="s">
        <v>1026</v>
      </c>
      <c r="LZ157" s="195" t="s">
        <v>526</v>
      </c>
    </row>
    <row r="158" spans="119:339">
      <c r="DO158" s="35" t="s">
        <v>338</v>
      </c>
      <c r="DP158" t="s">
        <v>338</v>
      </c>
      <c r="DQ158" s="207">
        <f t="shared" si="22"/>
        <v>0</v>
      </c>
      <c r="FE158" t="s">
        <v>2023</v>
      </c>
      <c r="FF158" t="s">
        <v>2024</v>
      </c>
      <c r="LX158" s="195" t="s">
        <v>1027</v>
      </c>
      <c r="LZ158" s="195" t="s">
        <v>476</v>
      </c>
    </row>
    <row r="159" spans="119:339">
      <c r="FE159" t="s">
        <v>2003</v>
      </c>
      <c r="FF159" t="s">
        <v>618</v>
      </c>
      <c r="LX159" s="195" t="s">
        <v>1015</v>
      </c>
      <c r="LZ159" s="195" t="s">
        <v>477</v>
      </c>
    </row>
    <row r="160" spans="119:339">
      <c r="FE160" t="s">
        <v>2004</v>
      </c>
      <c r="FF160" t="s">
        <v>619</v>
      </c>
      <c r="LX160" s="195" t="s">
        <v>1016</v>
      </c>
      <c r="LZ160" s="195" t="s">
        <v>478</v>
      </c>
    </row>
    <row r="161" spans="161:338">
      <c r="FE161" t="s">
        <v>2005</v>
      </c>
      <c r="FF161" t="s">
        <v>620</v>
      </c>
      <c r="LX161" s="195" t="s">
        <v>1028</v>
      </c>
      <c r="LZ161" s="195" t="s">
        <v>479</v>
      </c>
    </row>
    <row r="162" spans="161:338">
      <c r="FE162" t="s">
        <v>2022</v>
      </c>
      <c r="FF162" t="s">
        <v>621</v>
      </c>
      <c r="LX162" s="195" t="s">
        <v>1029</v>
      </c>
      <c r="LZ162" s="195" t="s">
        <v>480</v>
      </c>
    </row>
    <row r="163" spans="161:338">
      <c r="FF163" t="s">
        <v>1082</v>
      </c>
      <c r="LX163" s="195" t="s">
        <v>1005</v>
      </c>
      <c r="LZ163" s="195" t="s">
        <v>481</v>
      </c>
    </row>
    <row r="164" spans="161:338">
      <c r="FF164" t="s">
        <v>622</v>
      </c>
      <c r="LX164" s="195" t="s">
        <v>1006</v>
      </c>
      <c r="LZ164" s="195" t="s">
        <v>524</v>
      </c>
    </row>
    <row r="165" spans="161:338">
      <c r="FF165" t="s">
        <v>1886</v>
      </c>
      <c r="LX165" s="195" t="s">
        <v>1013</v>
      </c>
      <c r="LZ165" s="195" t="s">
        <v>527</v>
      </c>
    </row>
    <row r="166" spans="161:338">
      <c r="FF166" t="s">
        <v>829</v>
      </c>
      <c r="LX166" s="195" t="s">
        <v>1014</v>
      </c>
      <c r="LZ166" s="195" t="s">
        <v>482</v>
      </c>
    </row>
    <row r="167" spans="161:338">
      <c r="FF167" t="s">
        <v>2065</v>
      </c>
      <c r="LX167" s="195" t="s">
        <v>1893</v>
      </c>
      <c r="LZ167" s="195" t="s">
        <v>528</v>
      </c>
    </row>
    <row r="168" spans="161:338">
      <c r="FF168" t="s">
        <v>2066</v>
      </c>
      <c r="LX168" s="195" t="s">
        <v>1019</v>
      </c>
      <c r="LZ168" s="195" t="s">
        <v>483</v>
      </c>
    </row>
    <row r="169" spans="161:338">
      <c r="FF169" t="s">
        <v>315</v>
      </c>
      <c r="LX169" s="195" t="s">
        <v>1024</v>
      </c>
      <c r="LZ169" s="195" t="s">
        <v>529</v>
      </c>
    </row>
    <row r="170" spans="161:338">
      <c r="FF170" t="s">
        <v>2018</v>
      </c>
      <c r="LX170" s="195" t="s">
        <v>1025</v>
      </c>
      <c r="LZ170" s="195" t="s">
        <v>525</v>
      </c>
    </row>
    <row r="171" spans="161:338">
      <c r="FF171" t="s">
        <v>1931</v>
      </c>
      <c r="LX171" s="195" t="s">
        <v>1020</v>
      </c>
    </row>
    <row r="172" spans="161:338">
      <c r="FF172" t="s">
        <v>1531</v>
      </c>
      <c r="LX172" s="195" t="s">
        <v>1021</v>
      </c>
    </row>
    <row r="173" spans="161:338">
      <c r="FF173" t="s">
        <v>316</v>
      </c>
      <c r="LX173" s="195" t="s">
        <v>1007</v>
      </c>
    </row>
    <row r="174" spans="161:338">
      <c r="FF174" t="s">
        <v>1889</v>
      </c>
      <c r="LX174" s="195" t="s">
        <v>1008</v>
      </c>
    </row>
    <row r="175" spans="161:338">
      <c r="FF175" t="s">
        <v>2052</v>
      </c>
      <c r="LX175" s="195" t="s">
        <v>427</v>
      </c>
    </row>
    <row r="176" spans="161:338">
      <c r="FF176" t="s">
        <v>629</v>
      </c>
      <c r="LX176" s="195" t="s">
        <v>914</v>
      </c>
    </row>
    <row r="177" spans="162:336">
      <c r="FF177" t="s">
        <v>2053</v>
      </c>
      <c r="LX177" s="195" t="s">
        <v>1011</v>
      </c>
    </row>
    <row r="178" spans="162:336">
      <c r="FF178" t="s">
        <v>2054</v>
      </c>
      <c r="LX178" s="195" t="s">
        <v>1012</v>
      </c>
    </row>
    <row r="179" spans="162:336">
      <c r="FF179" t="s">
        <v>2055</v>
      </c>
      <c r="LX179" s="195" t="s">
        <v>1017</v>
      </c>
    </row>
    <row r="180" spans="162:336">
      <c r="FF180" t="s">
        <v>630</v>
      </c>
      <c r="LX180" s="195" t="s">
        <v>1018</v>
      </c>
    </row>
    <row r="181" spans="162:336">
      <c r="FF181" t="s">
        <v>631</v>
      </c>
      <c r="LX181" s="195" t="s">
        <v>915</v>
      </c>
    </row>
    <row r="182" spans="162:336">
      <c r="FF182" t="s">
        <v>632</v>
      </c>
      <c r="LX182" s="195" t="s">
        <v>916</v>
      </c>
    </row>
    <row r="183" spans="162:336">
      <c r="FF183" t="s">
        <v>1819</v>
      </c>
      <c r="LX183" s="195" t="s">
        <v>917</v>
      </c>
    </row>
    <row r="184" spans="162:336">
      <c r="FF184" t="s">
        <v>2019</v>
      </c>
      <c r="LX184" s="195" t="s">
        <v>514</v>
      </c>
    </row>
    <row r="185" spans="162:336">
      <c r="FF185" t="s">
        <v>2020</v>
      </c>
    </row>
    <row r="186" spans="162:336">
      <c r="FF186" t="s">
        <v>2051</v>
      </c>
    </row>
    <row r="187" spans="162:336">
      <c r="FF187" t="s">
        <v>1908</v>
      </c>
    </row>
    <row r="188" spans="162:336">
      <c r="FF188" t="s">
        <v>2056</v>
      </c>
    </row>
    <row r="189" spans="162:336">
      <c r="FF189" t="s">
        <v>635</v>
      </c>
    </row>
    <row r="190" spans="162:336">
      <c r="FF190" t="s">
        <v>636</v>
      </c>
    </row>
    <row r="191" spans="162:336">
      <c r="FF191" t="s">
        <v>1928</v>
      </c>
    </row>
    <row r="192" spans="162:336">
      <c r="FF192" t="s">
        <v>2021</v>
      </c>
    </row>
    <row r="193" spans="162:162">
      <c r="FF193" s="35" t="s">
        <v>326</v>
      </c>
    </row>
    <row r="194" spans="162:162">
      <c r="FF194" t="s">
        <v>637</v>
      </c>
    </row>
    <row r="195" spans="162:162">
      <c r="FF195" t="s">
        <v>2067</v>
      </c>
    </row>
    <row r="196" spans="162:162">
      <c r="FF196" t="s">
        <v>638</v>
      </c>
    </row>
    <row r="197" spans="162:162">
      <c r="FF197" t="s">
        <v>639</v>
      </c>
    </row>
    <row r="198" spans="162:162">
      <c r="FF198" t="s">
        <v>640</v>
      </c>
    </row>
    <row r="199" spans="162:162">
      <c r="FF199" t="s">
        <v>399</v>
      </c>
    </row>
    <row r="287" spans="163:164">
      <c r="FG287" s="35" t="s">
        <v>2062</v>
      </c>
      <c r="FH287" s="35" t="s">
        <v>2063</v>
      </c>
    </row>
    <row r="288" spans="163:164">
      <c r="FG288" s="35" t="s">
        <v>313</v>
      </c>
      <c r="FH288" s="35" t="s">
        <v>313</v>
      </c>
    </row>
    <row r="289" spans="163:164">
      <c r="FG289" s="35" t="s">
        <v>1819</v>
      </c>
      <c r="FH289" s="35" t="s">
        <v>1819</v>
      </c>
    </row>
    <row r="290" spans="163:164">
      <c r="FG290" s="35" t="s">
        <v>1818</v>
      </c>
      <c r="FH290" s="35" t="s">
        <v>1818</v>
      </c>
    </row>
    <row r="291" spans="163:164">
      <c r="FG291" s="35" t="s">
        <v>2036</v>
      </c>
      <c r="FH291" s="35" t="s">
        <v>2036</v>
      </c>
    </row>
    <row r="292" spans="163:164">
      <c r="FG292" s="35" t="s">
        <v>312</v>
      </c>
      <c r="FH292" s="35" t="s">
        <v>312</v>
      </c>
    </row>
    <row r="293" spans="163:164">
      <c r="FG293" s="35" t="s">
        <v>636</v>
      </c>
      <c r="FH293" s="35" t="s">
        <v>636</v>
      </c>
    </row>
    <row r="294" spans="163:164">
      <c r="FG294" s="35" t="s">
        <v>322</v>
      </c>
      <c r="FH294" s="35" t="s">
        <v>322</v>
      </c>
    </row>
    <row r="295" spans="163:164">
      <c r="FG295" s="35" t="s">
        <v>1928</v>
      </c>
      <c r="FH295" s="35" t="s">
        <v>1928</v>
      </c>
    </row>
    <row r="296" spans="163:164">
      <c r="FG296" s="35"/>
      <c r="FH296" s="35"/>
    </row>
    <row r="297" spans="163:164">
      <c r="FG297" s="35"/>
      <c r="FH297" s="35"/>
    </row>
    <row r="298" spans="163:164">
      <c r="FG298" s="35"/>
      <c r="FH298" s="35"/>
    </row>
    <row r="299" spans="163:164">
      <c r="FG299" s="35"/>
      <c r="FH299" s="35"/>
    </row>
  </sheetData>
  <sortState xmlns:xlrd2="http://schemas.microsoft.com/office/spreadsheetml/2017/richdata2" ref="FG288:FG298">
    <sortCondition ref="FG288:FG298"/>
  </sortState>
  <mergeCells count="4">
    <mergeCell ref="AU1:AY1"/>
    <mergeCell ref="JH1:JW1"/>
    <mergeCell ref="NO1:OE1"/>
    <mergeCell ref="NO14:OE14"/>
  </mergeCells>
  <phoneticPr fontId="26" type="noConversion"/>
  <conditionalFormatting sqref="DO3:DO84">
    <cfRule type="duplicateValues" dxfId="10" priority="15"/>
  </conditionalFormatting>
  <conditionalFormatting sqref="MA2:MA14">
    <cfRule type="duplicateValues" dxfId="9" priority="14"/>
  </conditionalFormatting>
  <conditionalFormatting sqref="LZ2:LZ17 MA18:MA24">
    <cfRule type="duplicateValues" dxfId="8" priority="13"/>
  </conditionalFormatting>
  <conditionalFormatting sqref="LX27:LX66 LX2:LX17 LY18:LY25">
    <cfRule type="duplicateValues" dxfId="7" priority="12"/>
  </conditionalFormatting>
  <conditionalFormatting sqref="LY2:LY17 LZ18:LZ23">
    <cfRule type="duplicateValues" dxfId="6" priority="11"/>
  </conditionalFormatting>
  <conditionalFormatting sqref="DO4:DO123">
    <cfRule type="duplicateValues" dxfId="5" priority="10"/>
  </conditionalFormatting>
  <conditionalFormatting sqref="DO3:DO123">
    <cfRule type="duplicateValues" dxfId="4" priority="9"/>
  </conditionalFormatting>
  <conditionalFormatting sqref="DO4:DO84">
    <cfRule type="duplicateValues" dxfId="3" priority="7"/>
  </conditionalFormatting>
  <conditionalFormatting sqref="DO4:DO117 DO119:DO123">
    <cfRule type="duplicateValues" dxfId="2" priority="6"/>
  </conditionalFormatting>
  <conditionalFormatting sqref="DO4:DO117 DO119:DO123">
    <cfRule type="duplicateValues" dxfId="1" priority="5"/>
  </conditionalFormatting>
  <conditionalFormatting sqref="DO157">
    <cfRule type="duplicateValues" dxfId="0" priority="2"/>
  </conditionalFormatting>
  <hyperlinks>
    <hyperlink ref="BA37" r:id="rId1" xr:uid="{00000000-0004-0000-0A00-000000000000}"/>
    <hyperlink ref="BA36" r:id="rId2" display="shuttersales@pacificwholesale.com.au" xr:uid="{00000000-0004-0000-0A00-000001000000}"/>
    <hyperlink ref="BA35" r:id="rId3" display="shutterorders@pacificwholesale.com.au" xr:uid="{00000000-0004-0000-0A00-000002000000}"/>
    <hyperlink ref="BA26" r:id="rId4" xr:uid="{00000000-0004-0000-0A00-000003000000}"/>
    <hyperlink ref="BA25" r:id="rId5" xr:uid="{00000000-0004-0000-0A00-000004000000}"/>
  </hyperlinks>
  <pageMargins left="7.874015748031496E-2" right="7.874015748031496E-2" top="0.98425196850393704" bottom="0.98425196850393704" header="0.51181102362204722" footer="0.51181102362204722"/>
  <pageSetup paperSize="8" firstPageNumber="4294963191" fitToWidth="4" orientation="landscape" r:id="rId6"/>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8"/>
    <pageSetUpPr fitToPage="1"/>
  </sheetPr>
  <dimension ref="A2:J58"/>
  <sheetViews>
    <sheetView zoomScaleNormal="100" workbookViewId="0">
      <selection activeCell="A27" sqref="A27"/>
    </sheetView>
  </sheetViews>
  <sheetFormatPr defaultRowHeight="12.75"/>
  <cols>
    <col min="1" max="1" width="14.5703125" style="33" customWidth="1"/>
    <col min="2" max="2" width="17.140625" style="33" customWidth="1"/>
    <col min="3" max="3" width="12.28515625" style="33" customWidth="1"/>
    <col min="4" max="4" width="12.42578125" style="33" customWidth="1"/>
    <col min="5" max="5" width="11.7109375" style="33" customWidth="1"/>
    <col min="6" max="6" width="9.42578125" style="33" customWidth="1"/>
    <col min="7" max="7" width="21.28515625" style="33" customWidth="1"/>
    <col min="8" max="8" width="12.42578125" style="33" customWidth="1"/>
    <col min="9" max="9" width="12.5703125" style="33" customWidth="1"/>
    <col min="10" max="10" width="11.85546875" style="33" customWidth="1"/>
    <col min="11" max="16384" width="9.140625" style="33"/>
  </cols>
  <sheetData>
    <row r="2" spans="1:10" ht="26.25">
      <c r="D2" s="229"/>
      <c r="E2" s="720" t="s">
        <v>388</v>
      </c>
      <c r="F2" s="721"/>
      <c r="G2" s="721"/>
      <c r="H2" s="721"/>
      <c r="I2" s="721"/>
    </row>
    <row r="3" spans="1:10" ht="9" customHeight="1"/>
    <row r="4" spans="1:10" ht="18.75" customHeight="1">
      <c r="D4" s="722" t="s">
        <v>0</v>
      </c>
      <c r="E4" s="722"/>
      <c r="F4" s="722"/>
      <c r="G4" s="723">
        <f>Summary!D3</f>
        <v>0</v>
      </c>
      <c r="H4" s="723"/>
      <c r="I4" s="723"/>
    </row>
    <row r="5" spans="1:10" ht="18.75" customHeight="1">
      <c r="A5" s="724" t="s">
        <v>974</v>
      </c>
      <c r="B5" s="724"/>
      <c r="C5" s="724"/>
      <c r="D5" s="722" t="s">
        <v>1</v>
      </c>
      <c r="E5" s="722"/>
      <c r="F5" s="722"/>
      <c r="G5" s="723">
        <f>Summary!D6</f>
        <v>0</v>
      </c>
      <c r="H5" s="723"/>
      <c r="I5" s="723"/>
    </row>
    <row r="6" spans="1:10" ht="18.75" customHeight="1">
      <c r="A6" s="724"/>
      <c r="B6" s="724"/>
      <c r="C6" s="724"/>
      <c r="D6" s="722" t="s">
        <v>973</v>
      </c>
      <c r="E6" s="722"/>
      <c r="F6" s="722"/>
      <c r="G6" s="723">
        <f>Summary!D7</f>
        <v>0</v>
      </c>
      <c r="H6" s="723"/>
      <c r="I6" s="723"/>
    </row>
    <row r="7" spans="1:10" ht="18.75" customHeight="1">
      <c r="A7" s="724"/>
      <c r="B7" s="724"/>
      <c r="C7" s="724"/>
      <c r="D7" s="722" t="s">
        <v>143</v>
      </c>
      <c r="E7" s="722"/>
      <c r="F7" s="722"/>
      <c r="G7" s="725">
        <f>Summary!D8</f>
        <v>0</v>
      </c>
      <c r="H7" s="725"/>
      <c r="I7" s="725"/>
    </row>
    <row r="8" spans="1:10">
      <c r="A8" s="724"/>
      <c r="B8" s="724"/>
      <c r="C8" s="724"/>
    </row>
    <row r="9" spans="1:10" ht="21" customHeight="1">
      <c r="A9" s="103" t="s">
        <v>191</v>
      </c>
      <c r="B9" s="726" t="s">
        <v>997</v>
      </c>
      <c r="C9" s="726"/>
      <c r="D9" s="728" t="s">
        <v>192</v>
      </c>
      <c r="E9" s="728"/>
      <c r="F9" s="727" t="s">
        <v>208</v>
      </c>
      <c r="G9" s="727"/>
      <c r="H9" s="727"/>
      <c r="I9" s="727"/>
      <c r="J9" s="64"/>
    </row>
    <row r="10" spans="1:10" ht="21" customHeight="1">
      <c r="A10" s="104" t="s">
        <v>193</v>
      </c>
      <c r="B10" s="726" t="s">
        <v>419</v>
      </c>
      <c r="C10" s="726"/>
      <c r="D10" s="729" t="s">
        <v>194</v>
      </c>
      <c r="E10" s="729"/>
      <c r="F10" s="727" t="s">
        <v>208</v>
      </c>
      <c r="G10" s="727"/>
      <c r="H10" s="727"/>
      <c r="I10" s="727"/>
      <c r="J10" s="64"/>
    </row>
    <row r="25" spans="1:10" s="105" customFormat="1" ht="15.75" customHeight="1">
      <c r="A25" s="735" t="s">
        <v>972</v>
      </c>
      <c r="B25" s="736" t="s">
        <v>180</v>
      </c>
      <c r="C25" s="735" t="s">
        <v>971</v>
      </c>
      <c r="D25" s="735" t="s">
        <v>970</v>
      </c>
      <c r="E25" s="735" t="s">
        <v>969</v>
      </c>
      <c r="F25" s="730" t="s">
        <v>195</v>
      </c>
      <c r="G25" s="730" t="s">
        <v>1030</v>
      </c>
      <c r="H25" s="732" t="s">
        <v>196</v>
      </c>
      <c r="I25" s="733"/>
      <c r="J25" s="734"/>
    </row>
    <row r="26" spans="1:10" s="105" customFormat="1" ht="15">
      <c r="A26" s="735"/>
      <c r="B26" s="737"/>
      <c r="C26" s="735"/>
      <c r="D26" s="735"/>
      <c r="E26" s="735"/>
      <c r="F26" s="731"/>
      <c r="G26" s="731"/>
      <c r="H26" s="228" t="s">
        <v>197</v>
      </c>
      <c r="I26" s="227" t="s">
        <v>198</v>
      </c>
      <c r="J26" s="226" t="s">
        <v>199</v>
      </c>
    </row>
    <row r="27" spans="1:10" s="106" customFormat="1" ht="28.5" customHeight="1">
      <c r="A27" s="31"/>
      <c r="B27" s="32"/>
      <c r="C27" s="31"/>
      <c r="D27" s="31"/>
      <c r="E27" s="31"/>
      <c r="F27" s="31"/>
      <c r="G27" s="31"/>
      <c r="H27" s="31"/>
      <c r="I27" s="31"/>
      <c r="J27" s="31"/>
    </row>
    <row r="28" spans="1:10" s="106" customFormat="1" ht="28.5" customHeight="1">
      <c r="A28" s="31"/>
      <c r="B28" s="32"/>
      <c r="C28" s="31"/>
      <c r="D28" s="31"/>
      <c r="E28" s="31"/>
      <c r="F28" s="31"/>
      <c r="G28" s="31"/>
      <c r="H28" s="31"/>
      <c r="I28" s="31"/>
      <c r="J28" s="31"/>
    </row>
    <row r="29" spans="1:10" s="106" customFormat="1" ht="28.5" customHeight="1">
      <c r="A29" s="31"/>
      <c r="B29" s="32"/>
      <c r="C29" s="31"/>
      <c r="D29" s="31"/>
      <c r="E29" s="31"/>
      <c r="F29" s="31"/>
      <c r="G29" s="31"/>
      <c r="H29" s="31"/>
      <c r="I29" s="31"/>
      <c r="J29" s="31"/>
    </row>
    <row r="30" spans="1:10" s="106" customFormat="1" ht="28.5" customHeight="1">
      <c r="A30" s="31"/>
      <c r="B30" s="32"/>
      <c r="C30" s="31"/>
      <c r="D30" s="31"/>
      <c r="E30" s="31"/>
      <c r="F30" s="31"/>
      <c r="G30" s="31"/>
      <c r="H30" s="31"/>
      <c r="I30" s="31"/>
      <c r="J30" s="31"/>
    </row>
    <row r="31" spans="1:10" s="106" customFormat="1" ht="28.5" customHeight="1">
      <c r="A31" s="31"/>
      <c r="B31" s="32"/>
      <c r="C31" s="31"/>
      <c r="D31" s="31"/>
      <c r="E31" s="31"/>
      <c r="F31" s="31"/>
      <c r="G31" s="31"/>
      <c r="H31" s="31"/>
      <c r="I31" s="31"/>
      <c r="J31" s="31"/>
    </row>
    <row r="32" spans="1:10" s="106" customFormat="1" ht="28.5" customHeight="1">
      <c r="A32" s="31"/>
      <c r="B32" s="32"/>
      <c r="C32" s="31"/>
      <c r="D32" s="31"/>
      <c r="E32" s="31"/>
      <c r="F32" s="31"/>
      <c r="G32" s="31"/>
      <c r="H32" s="31"/>
      <c r="I32" s="31"/>
      <c r="J32" s="31"/>
    </row>
    <row r="33" spans="1:10" s="106" customFormat="1" ht="28.5" customHeight="1">
      <c r="A33" s="31"/>
      <c r="B33" s="32"/>
      <c r="C33" s="31"/>
      <c r="D33" s="31"/>
      <c r="E33" s="31"/>
      <c r="F33" s="31"/>
      <c r="G33" s="31"/>
      <c r="H33" s="31"/>
      <c r="I33" s="31"/>
      <c r="J33" s="31"/>
    </row>
    <row r="34" spans="1:10" s="106" customFormat="1" ht="28.5" customHeight="1">
      <c r="A34" s="31"/>
      <c r="B34" s="32"/>
      <c r="C34" s="31"/>
      <c r="D34" s="31"/>
      <c r="E34" s="31"/>
      <c r="F34" s="31"/>
      <c r="G34" s="31"/>
      <c r="H34" s="31"/>
      <c r="I34" s="31"/>
      <c r="J34" s="31"/>
    </row>
    <row r="35" spans="1:10" s="106" customFormat="1" ht="28.5" customHeight="1">
      <c r="A35" s="31"/>
      <c r="B35" s="32"/>
      <c r="C35" s="31"/>
      <c r="D35" s="31"/>
      <c r="E35" s="31"/>
      <c r="F35" s="31"/>
      <c r="G35" s="31"/>
      <c r="H35" s="31"/>
      <c r="I35" s="31"/>
      <c r="J35" s="31"/>
    </row>
    <row r="36" spans="1:10" s="106" customFormat="1" ht="28.5" customHeight="1">
      <c r="A36" s="31"/>
      <c r="B36" s="32"/>
      <c r="C36" s="31"/>
      <c r="D36" s="31"/>
      <c r="E36" s="31"/>
      <c r="F36" s="31"/>
      <c r="G36" s="31"/>
      <c r="H36" s="31"/>
      <c r="I36" s="31"/>
      <c r="J36" s="31"/>
    </row>
    <row r="37" spans="1:10" s="106" customFormat="1" ht="28.5" customHeight="1">
      <c r="A37" s="31"/>
      <c r="B37" s="32"/>
      <c r="C37" s="31"/>
      <c r="D37" s="31"/>
      <c r="E37" s="31"/>
      <c r="F37" s="31"/>
      <c r="G37" s="31"/>
      <c r="H37" s="31"/>
      <c r="I37" s="31"/>
      <c r="J37" s="31"/>
    </row>
    <row r="38" spans="1:10" s="106" customFormat="1" ht="28.5" customHeight="1">
      <c r="A38" s="31"/>
      <c r="B38" s="32"/>
      <c r="C38" s="31"/>
      <c r="D38" s="31"/>
      <c r="E38" s="31"/>
      <c r="F38" s="31"/>
      <c r="G38" s="31"/>
      <c r="H38" s="31"/>
      <c r="I38" s="31"/>
      <c r="J38" s="31"/>
    </row>
    <row r="39" spans="1:10" s="106" customFormat="1" ht="28.5" customHeight="1">
      <c r="A39" s="31"/>
      <c r="B39" s="32"/>
      <c r="C39" s="31"/>
      <c r="D39" s="31"/>
      <c r="E39" s="31"/>
      <c r="F39" s="31"/>
      <c r="G39" s="31"/>
      <c r="H39" s="31"/>
      <c r="I39" s="31"/>
      <c r="J39" s="31"/>
    </row>
    <row r="40" spans="1:10" s="106" customFormat="1" ht="28.5" customHeight="1">
      <c r="A40" s="31"/>
      <c r="B40" s="32"/>
      <c r="C40" s="31"/>
      <c r="D40" s="31"/>
      <c r="E40" s="31"/>
      <c r="F40" s="31"/>
      <c r="G40" s="31"/>
      <c r="H40" s="31"/>
      <c r="I40" s="31"/>
      <c r="J40" s="31"/>
    </row>
    <row r="41" spans="1:10" s="106" customFormat="1" ht="28.5" customHeight="1">
      <c r="A41" s="31"/>
      <c r="B41" s="32"/>
      <c r="C41" s="31"/>
      <c r="D41" s="31"/>
      <c r="E41" s="31"/>
      <c r="F41" s="31"/>
      <c r="G41" s="31"/>
      <c r="H41" s="31"/>
      <c r="I41" s="31"/>
      <c r="J41" s="31"/>
    </row>
    <row r="42" spans="1:10" s="106" customFormat="1" ht="28.5" customHeight="1">
      <c r="A42" s="31"/>
      <c r="B42" s="32"/>
      <c r="C42" s="31"/>
      <c r="D42" s="31"/>
      <c r="E42" s="31"/>
      <c r="F42" s="31"/>
      <c r="G42" s="31"/>
      <c r="H42" s="31"/>
      <c r="I42" s="31"/>
      <c r="J42" s="31"/>
    </row>
    <row r="43" spans="1:10" s="106" customFormat="1" ht="28.5" customHeight="1">
      <c r="A43" s="31"/>
      <c r="B43" s="32"/>
      <c r="C43" s="31"/>
      <c r="D43" s="31"/>
      <c r="E43" s="31"/>
      <c r="F43" s="31"/>
      <c r="G43" s="31"/>
      <c r="H43" s="31"/>
      <c r="I43" s="31"/>
      <c r="J43" s="31"/>
    </row>
    <row r="44" spans="1:10" s="106" customFormat="1" ht="28.5" customHeight="1">
      <c r="A44" s="31"/>
      <c r="B44" s="32"/>
      <c r="C44" s="31"/>
      <c r="D44" s="31"/>
      <c r="E44" s="31"/>
      <c r="F44" s="31"/>
      <c r="G44" s="31"/>
      <c r="H44" s="31"/>
      <c r="I44" s="31"/>
      <c r="J44" s="31"/>
    </row>
    <row r="45" spans="1:10" s="106" customFormat="1" ht="28.5" customHeight="1">
      <c r="A45" s="31"/>
      <c r="B45" s="32"/>
      <c r="C45" s="31"/>
      <c r="D45" s="31"/>
      <c r="E45" s="31"/>
      <c r="F45" s="31"/>
      <c r="G45" s="31"/>
      <c r="H45" s="31"/>
      <c r="I45" s="31"/>
      <c r="J45" s="31"/>
    </row>
    <row r="46" spans="1:10" s="106" customFormat="1" ht="28.5" customHeight="1">
      <c r="A46" s="31"/>
      <c r="B46" s="32"/>
      <c r="C46" s="31"/>
      <c r="D46" s="31"/>
      <c r="E46" s="31"/>
      <c r="F46" s="31"/>
      <c r="G46" s="31"/>
      <c r="H46" s="31"/>
      <c r="I46" s="31"/>
      <c r="J46" s="31"/>
    </row>
    <row r="47" spans="1:10" s="106" customFormat="1" ht="28.5" customHeight="1">
      <c r="A47" s="31"/>
      <c r="B47" s="32"/>
      <c r="C47" s="31"/>
      <c r="D47" s="31"/>
      <c r="E47" s="31"/>
      <c r="F47" s="31"/>
      <c r="G47" s="31"/>
      <c r="H47" s="31"/>
      <c r="I47" s="31"/>
      <c r="J47" s="31"/>
    </row>
    <row r="48" spans="1:10" s="106" customFormat="1" ht="28.5" customHeight="1">
      <c r="A48" s="31"/>
      <c r="B48" s="32"/>
      <c r="C48" s="31"/>
      <c r="D48" s="31"/>
      <c r="E48" s="31"/>
      <c r="F48" s="31"/>
      <c r="G48" s="31"/>
      <c r="H48" s="31"/>
      <c r="I48" s="31"/>
      <c r="J48" s="31"/>
    </row>
    <row r="49" spans="1:10" s="106" customFormat="1" ht="28.5" customHeight="1">
      <c r="A49" s="31"/>
      <c r="B49" s="32"/>
      <c r="C49" s="31"/>
      <c r="D49" s="31"/>
      <c r="E49" s="31"/>
      <c r="F49" s="31"/>
      <c r="G49" s="31"/>
      <c r="H49" s="31"/>
      <c r="I49" s="31"/>
      <c r="J49" s="31"/>
    </row>
    <row r="50" spans="1:10" s="106" customFormat="1" ht="28.5" customHeight="1">
      <c r="A50" s="31"/>
      <c r="B50" s="32"/>
      <c r="C50" s="31"/>
      <c r="D50" s="31"/>
      <c r="E50" s="31"/>
      <c r="F50" s="31"/>
      <c r="G50" s="31"/>
      <c r="H50" s="31"/>
      <c r="I50" s="31"/>
      <c r="J50" s="31"/>
    </row>
    <row r="51" spans="1:10" s="106" customFormat="1" ht="28.5" customHeight="1">
      <c r="A51" s="31"/>
      <c r="B51" s="32"/>
      <c r="C51" s="31"/>
      <c r="D51" s="31"/>
      <c r="E51" s="31"/>
      <c r="F51" s="31"/>
      <c r="G51" s="31"/>
      <c r="H51" s="31"/>
      <c r="I51" s="31"/>
      <c r="J51" s="31"/>
    </row>
    <row r="52" spans="1:10" s="106" customFormat="1" ht="28.5" customHeight="1">
      <c r="A52" s="31"/>
      <c r="B52" s="32"/>
      <c r="C52" s="31"/>
      <c r="D52" s="31"/>
      <c r="E52" s="31"/>
      <c r="F52" s="31"/>
      <c r="G52" s="31"/>
      <c r="H52" s="31"/>
      <c r="I52" s="31"/>
      <c r="J52" s="31"/>
    </row>
    <row r="53" spans="1:10" s="106" customFormat="1" ht="28.5" customHeight="1">
      <c r="A53" s="31"/>
      <c r="B53" s="32"/>
      <c r="C53" s="31"/>
      <c r="D53" s="31"/>
      <c r="E53" s="31"/>
      <c r="F53" s="31"/>
      <c r="G53" s="31"/>
      <c r="H53" s="31"/>
      <c r="I53" s="31"/>
      <c r="J53" s="31"/>
    </row>
    <row r="54" spans="1:10" s="106" customFormat="1" ht="28.5" customHeight="1">
      <c r="A54" s="31"/>
      <c r="B54" s="32"/>
      <c r="C54" s="31"/>
      <c r="D54" s="31"/>
      <c r="E54" s="31"/>
      <c r="F54" s="31"/>
      <c r="G54" s="31"/>
      <c r="H54" s="31"/>
      <c r="I54" s="31"/>
      <c r="J54" s="31"/>
    </row>
    <row r="55" spans="1:10" s="106" customFormat="1" ht="28.5" customHeight="1">
      <c r="A55" s="31"/>
      <c r="B55" s="32"/>
      <c r="C55" s="31"/>
      <c r="D55" s="31"/>
      <c r="E55" s="31"/>
      <c r="F55" s="31"/>
      <c r="G55" s="31"/>
      <c r="H55" s="31"/>
      <c r="I55" s="31"/>
      <c r="J55" s="31"/>
    </row>
    <row r="56" spans="1:10" s="106" customFormat="1" ht="28.5" customHeight="1">
      <c r="A56" s="31"/>
      <c r="B56" s="32"/>
      <c r="C56" s="31"/>
      <c r="D56" s="31"/>
      <c r="E56" s="31"/>
      <c r="F56" s="31"/>
      <c r="G56" s="31"/>
      <c r="H56" s="31"/>
      <c r="I56" s="31"/>
      <c r="J56" s="31"/>
    </row>
    <row r="57" spans="1:10" s="106" customFormat="1" ht="28.5" customHeight="1">
      <c r="A57" s="31"/>
      <c r="B57" s="32"/>
      <c r="C57" s="31"/>
      <c r="D57" s="31"/>
      <c r="E57" s="31"/>
      <c r="F57" s="31"/>
      <c r="G57" s="31"/>
      <c r="H57" s="31"/>
      <c r="I57" s="31"/>
      <c r="J57" s="31"/>
    </row>
    <row r="58" spans="1:10">
      <c r="B58" s="34"/>
    </row>
  </sheetData>
  <protectedRanges>
    <protectedRange sqref="J9:J10" name="Range1"/>
  </protectedRanges>
  <mergeCells count="24">
    <mergeCell ref="G25:G26"/>
    <mergeCell ref="H25:J25"/>
    <mergeCell ref="A25:A26"/>
    <mergeCell ref="B25:B26"/>
    <mergeCell ref="C25:C26"/>
    <mergeCell ref="D25:D26"/>
    <mergeCell ref="E25:E26"/>
    <mergeCell ref="F25:F26"/>
    <mergeCell ref="B9:C9"/>
    <mergeCell ref="B10:C10"/>
    <mergeCell ref="F9:I9"/>
    <mergeCell ref="F10:I10"/>
    <mergeCell ref="D9:E9"/>
    <mergeCell ref="D10:E10"/>
    <mergeCell ref="E2:I2"/>
    <mergeCell ref="D4:F4"/>
    <mergeCell ref="G4:I4"/>
    <mergeCell ref="A5:C8"/>
    <mergeCell ref="D5:F5"/>
    <mergeCell ref="G5:I5"/>
    <mergeCell ref="D6:F6"/>
    <mergeCell ref="G6:I6"/>
    <mergeCell ref="D7:F7"/>
    <mergeCell ref="G7:I7"/>
  </mergeCells>
  <dataValidations count="6">
    <dataValidation type="list" allowBlank="1" showInputMessage="1" showErrorMessage="1" errorTitle="Invalid Entry" error="Invalid Entry" sqref="E27:E57" xr:uid="{00000000-0002-0000-0B00-000000000000}">
      <formula1>ACTNAM</formula1>
    </dataValidation>
    <dataValidation type="list" allowBlank="1" showInputMessage="1" showErrorMessage="1" errorTitle="Invalid Entry" error="Invalid Entry" sqref="F27:F57" xr:uid="{00000000-0002-0000-0B00-000001000000}">
      <formula1>ButtThru</formula1>
    </dataValidation>
    <dataValidation type="list" allowBlank="1" showInputMessage="1" showErrorMessage="1" errorTitle="Invalid Entry" error="Invalid Entry" sqref="C27:C57" xr:uid="{00000000-0002-0000-0B00-000002000000}">
      <formula1>LHRHCorner</formula1>
    </dataValidation>
    <dataValidation type="list" allowBlank="1" showInputMessage="1" showErrorMessage="1" errorTitle="Invalid Entry" error="Invalid Entry" sqref="D27:D57" xr:uid="{00000000-0002-0000-0B00-000003000000}">
      <formula1>FaceRecess</formula1>
    </dataValidation>
    <dataValidation type="list" allowBlank="1" showInputMessage="1" showErrorMessage="1" errorTitle="Invalid Entry" error="Invalid Entry" sqref="B27:B57" xr:uid="{00000000-0002-0000-0B00-000004000000}">
      <formula1>BlindType</formula1>
    </dataValidation>
    <dataValidation type="list" allowBlank="1" showInputMessage="1" showErrorMessage="1" errorTitle="Invalid Entry" error="Invalid Entry" sqref="G27:G57" xr:uid="{00000000-0002-0000-0B00-000005000000}">
      <formula1>INDIRECT(D27)</formula1>
    </dataValidation>
  </dataValidations>
  <hyperlinks>
    <hyperlink ref="F9" r:id="rId1" xr:uid="{00000000-0004-0000-0B00-000000000000}"/>
    <hyperlink ref="F10" r:id="rId2" xr:uid="{00000000-0004-0000-0B00-000001000000}"/>
  </hyperlinks>
  <printOptions horizontalCentered="1"/>
  <pageMargins left="0.19685039370078741" right="0.19685039370078741" top="0.23622047244094491" bottom="0.23622047244094491" header="0.19685039370078741" footer="0.19685039370078741"/>
  <pageSetup paperSize="9" scale="65" orientation="portrait" r:id="rId3"/>
  <headerFooter alignWithMargins="0"/>
  <drawing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2" tint="-0.749992370372631"/>
    <pageSetUpPr fitToPage="1"/>
  </sheetPr>
  <dimension ref="A2:L58"/>
  <sheetViews>
    <sheetView zoomScaleNormal="100" workbookViewId="0">
      <selection activeCell="A27" sqref="A27"/>
    </sheetView>
  </sheetViews>
  <sheetFormatPr defaultRowHeight="12.75"/>
  <cols>
    <col min="1" max="1" width="12.85546875" style="33" customWidth="1"/>
    <col min="2" max="2" width="20.5703125" style="33" customWidth="1"/>
    <col min="3" max="3" width="11.42578125" style="33" customWidth="1"/>
    <col min="4" max="4" width="13.140625" style="33" customWidth="1"/>
    <col min="5" max="5" width="21.28515625" style="33" customWidth="1"/>
    <col min="6" max="6" width="7.7109375" style="33" customWidth="1"/>
    <col min="7" max="12" width="10.42578125" style="33" customWidth="1"/>
    <col min="13" max="16384" width="9.140625" style="33"/>
  </cols>
  <sheetData>
    <row r="2" spans="1:11" ht="26.25">
      <c r="D2" s="229"/>
      <c r="E2" s="738" t="s">
        <v>389</v>
      </c>
      <c r="F2" s="721"/>
      <c r="G2" s="721"/>
      <c r="H2" s="721"/>
      <c r="I2" s="721"/>
      <c r="J2" s="721"/>
      <c r="K2" s="721"/>
    </row>
    <row r="3" spans="1:11" ht="9" customHeight="1"/>
    <row r="4" spans="1:11" ht="18.75" customHeight="1">
      <c r="D4" s="722" t="s">
        <v>0</v>
      </c>
      <c r="E4" s="722"/>
      <c r="F4" s="722"/>
      <c r="G4" s="722"/>
      <c r="H4" s="723">
        <f>Summary!D3</f>
        <v>0</v>
      </c>
      <c r="I4" s="723"/>
      <c r="J4" s="723"/>
      <c r="K4" s="723"/>
    </row>
    <row r="5" spans="1:11" ht="18.75" customHeight="1">
      <c r="A5" s="724" t="s">
        <v>974</v>
      </c>
      <c r="B5" s="724"/>
      <c r="C5" s="724"/>
      <c r="D5" s="722" t="s">
        <v>1</v>
      </c>
      <c r="E5" s="722"/>
      <c r="F5" s="722"/>
      <c r="G5" s="722"/>
      <c r="H5" s="723">
        <f>Summary!D6</f>
        <v>0</v>
      </c>
      <c r="I5" s="723"/>
      <c r="J5" s="723"/>
      <c r="K5" s="723"/>
    </row>
    <row r="6" spans="1:11" ht="18.75" customHeight="1">
      <c r="A6" s="724"/>
      <c r="B6" s="724"/>
      <c r="C6" s="724"/>
      <c r="D6" s="722" t="s">
        <v>973</v>
      </c>
      <c r="E6" s="722"/>
      <c r="F6" s="722"/>
      <c r="G6" s="722"/>
      <c r="H6" s="723">
        <f>Summary!D7</f>
        <v>0</v>
      </c>
      <c r="I6" s="723"/>
      <c r="J6" s="723"/>
      <c r="K6" s="723"/>
    </row>
    <row r="7" spans="1:11" ht="18.75" customHeight="1">
      <c r="A7" s="724"/>
      <c r="B7" s="724"/>
      <c r="C7" s="724"/>
      <c r="D7" s="722" t="s">
        <v>143</v>
      </c>
      <c r="E7" s="722"/>
      <c r="F7" s="722"/>
      <c r="G7" s="722"/>
      <c r="H7" s="725">
        <f>Summary!D8</f>
        <v>0</v>
      </c>
      <c r="I7" s="725"/>
      <c r="J7" s="725"/>
      <c r="K7" s="725"/>
    </row>
    <row r="8" spans="1:11">
      <c r="A8" s="724"/>
      <c r="B8" s="724"/>
      <c r="C8" s="724"/>
    </row>
    <row r="9" spans="1:11" ht="21" customHeight="1">
      <c r="A9" s="103" t="s">
        <v>191</v>
      </c>
      <c r="B9" s="726" t="s">
        <v>997</v>
      </c>
      <c r="C9" s="726"/>
      <c r="D9" s="728" t="s">
        <v>192</v>
      </c>
      <c r="E9" s="728"/>
      <c r="F9" s="728"/>
      <c r="G9" s="727" t="s">
        <v>208</v>
      </c>
      <c r="H9" s="727"/>
      <c r="I9" s="727"/>
      <c r="J9" s="727"/>
      <c r="K9" s="727"/>
    </row>
    <row r="10" spans="1:11" ht="21" customHeight="1">
      <c r="A10" s="104" t="s">
        <v>193</v>
      </c>
      <c r="B10" s="726" t="s">
        <v>419</v>
      </c>
      <c r="C10" s="726"/>
      <c r="D10" s="729" t="s">
        <v>194</v>
      </c>
      <c r="E10" s="729"/>
      <c r="F10" s="729"/>
      <c r="G10" s="727" t="s">
        <v>208</v>
      </c>
      <c r="H10" s="727"/>
      <c r="I10" s="727"/>
      <c r="J10" s="727"/>
      <c r="K10" s="727"/>
    </row>
    <row r="12" spans="1:11" ht="20.25">
      <c r="A12" s="107"/>
    </row>
    <row r="25" spans="1:12" s="105" customFormat="1" ht="15.75" customHeight="1">
      <c r="A25" s="739" t="s">
        <v>976</v>
      </c>
      <c r="B25" s="743" t="s">
        <v>180</v>
      </c>
      <c r="C25" s="741" t="s">
        <v>970</v>
      </c>
      <c r="D25" s="741" t="s">
        <v>969</v>
      </c>
      <c r="E25" s="741" t="s">
        <v>1030</v>
      </c>
      <c r="F25" s="741" t="s">
        <v>975</v>
      </c>
      <c r="G25" s="739" t="s">
        <v>196</v>
      </c>
      <c r="H25" s="740"/>
      <c r="I25" s="740"/>
      <c r="J25" s="740"/>
      <c r="K25" s="740"/>
      <c r="L25" s="740"/>
    </row>
    <row r="26" spans="1:12" s="105" customFormat="1" ht="15">
      <c r="A26" s="739"/>
      <c r="B26" s="744"/>
      <c r="C26" s="742"/>
      <c r="D26" s="742"/>
      <c r="E26" s="742"/>
      <c r="F26" s="742"/>
      <c r="G26" s="234" t="s">
        <v>197</v>
      </c>
      <c r="H26" s="233" t="s">
        <v>198</v>
      </c>
      <c r="I26" s="232" t="s">
        <v>200</v>
      </c>
      <c r="J26" s="231" t="s">
        <v>201</v>
      </c>
      <c r="K26" s="230" t="s">
        <v>202</v>
      </c>
      <c r="L26" s="230" t="s">
        <v>199</v>
      </c>
    </row>
    <row r="27" spans="1:12" s="106" customFormat="1" ht="28.5" customHeight="1">
      <c r="A27" s="31"/>
      <c r="B27" s="32"/>
      <c r="C27" s="31"/>
      <c r="D27" s="31"/>
      <c r="E27" s="31"/>
      <c r="F27" s="31"/>
      <c r="G27" s="31"/>
      <c r="H27" s="31"/>
      <c r="I27" s="31"/>
      <c r="J27" s="31"/>
      <c r="K27" s="31"/>
      <c r="L27" s="31"/>
    </row>
    <row r="28" spans="1:12" s="106" customFormat="1" ht="28.5" customHeight="1">
      <c r="A28" s="31"/>
      <c r="B28" s="32"/>
      <c r="C28" s="31"/>
      <c r="D28" s="31"/>
      <c r="E28" s="31"/>
      <c r="F28" s="31"/>
      <c r="G28" s="31"/>
      <c r="H28" s="31"/>
      <c r="I28" s="31"/>
      <c r="J28" s="31"/>
      <c r="K28" s="31"/>
      <c r="L28" s="31"/>
    </row>
    <row r="29" spans="1:12" s="106" customFormat="1" ht="28.5" customHeight="1">
      <c r="A29" s="31"/>
      <c r="B29" s="32"/>
      <c r="C29" s="31"/>
      <c r="D29" s="31"/>
      <c r="E29" s="31"/>
      <c r="F29" s="31"/>
      <c r="G29" s="31"/>
      <c r="H29" s="31"/>
      <c r="I29" s="31"/>
      <c r="J29" s="31"/>
      <c r="K29" s="31"/>
      <c r="L29" s="31"/>
    </row>
    <row r="30" spans="1:12" s="106" customFormat="1" ht="28.5" customHeight="1">
      <c r="A30" s="31"/>
      <c r="B30" s="32"/>
      <c r="C30" s="31"/>
      <c r="D30" s="31"/>
      <c r="E30" s="31"/>
      <c r="F30" s="31"/>
      <c r="G30" s="31"/>
      <c r="H30" s="31"/>
      <c r="I30" s="31"/>
      <c r="J30" s="31"/>
      <c r="K30" s="31"/>
      <c r="L30" s="31"/>
    </row>
    <row r="31" spans="1:12" s="106" customFormat="1" ht="28.5" customHeight="1">
      <c r="A31" s="31"/>
      <c r="B31" s="32"/>
      <c r="C31" s="31"/>
      <c r="D31" s="31"/>
      <c r="E31" s="31"/>
      <c r="F31" s="31"/>
      <c r="G31" s="31"/>
      <c r="H31" s="31"/>
      <c r="I31" s="31"/>
      <c r="J31" s="31"/>
      <c r="K31" s="31"/>
      <c r="L31" s="31"/>
    </row>
    <row r="32" spans="1:12" s="106" customFormat="1" ht="28.5" customHeight="1">
      <c r="A32" s="31"/>
      <c r="B32" s="32"/>
      <c r="C32" s="31"/>
      <c r="D32" s="31"/>
      <c r="E32" s="31"/>
      <c r="F32" s="31"/>
      <c r="G32" s="31"/>
      <c r="H32" s="31"/>
      <c r="I32" s="31"/>
      <c r="J32" s="31"/>
      <c r="K32" s="31"/>
      <c r="L32" s="31"/>
    </row>
    <row r="33" spans="1:12" s="106" customFormat="1" ht="28.5" customHeight="1">
      <c r="A33" s="31"/>
      <c r="B33" s="32"/>
      <c r="C33" s="31"/>
      <c r="D33" s="31"/>
      <c r="E33" s="31"/>
      <c r="F33" s="31"/>
      <c r="G33" s="31"/>
      <c r="H33" s="31"/>
      <c r="I33" s="31"/>
      <c r="J33" s="31"/>
      <c r="K33" s="31"/>
      <c r="L33" s="31"/>
    </row>
    <row r="34" spans="1:12" s="106" customFormat="1" ht="28.5" customHeight="1">
      <c r="A34" s="31"/>
      <c r="B34" s="32"/>
      <c r="C34" s="31"/>
      <c r="D34" s="31"/>
      <c r="E34" s="31"/>
      <c r="F34" s="31"/>
      <c r="G34" s="31"/>
      <c r="H34" s="31"/>
      <c r="I34" s="31"/>
      <c r="J34" s="31"/>
      <c r="K34" s="31"/>
      <c r="L34" s="31"/>
    </row>
    <row r="35" spans="1:12" s="106" customFormat="1" ht="28.5" customHeight="1">
      <c r="A35" s="31"/>
      <c r="B35" s="32"/>
      <c r="C35" s="31"/>
      <c r="D35" s="31"/>
      <c r="E35" s="31"/>
      <c r="F35" s="31"/>
      <c r="G35" s="31"/>
      <c r="H35" s="31"/>
      <c r="I35" s="31"/>
      <c r="J35" s="31"/>
      <c r="K35" s="31"/>
      <c r="L35" s="31"/>
    </row>
    <row r="36" spans="1:12" s="106" customFormat="1" ht="28.5" customHeight="1">
      <c r="A36" s="31"/>
      <c r="B36" s="32"/>
      <c r="C36" s="31"/>
      <c r="D36" s="31"/>
      <c r="E36" s="31"/>
      <c r="F36" s="31"/>
      <c r="G36" s="31"/>
      <c r="H36" s="31"/>
      <c r="I36" s="31"/>
      <c r="J36" s="31"/>
      <c r="K36" s="31"/>
      <c r="L36" s="31"/>
    </row>
    <row r="37" spans="1:12" s="106" customFormat="1" ht="28.5" customHeight="1">
      <c r="A37" s="31"/>
      <c r="B37" s="32"/>
      <c r="C37" s="31"/>
      <c r="D37" s="31"/>
      <c r="E37" s="31"/>
      <c r="F37" s="31"/>
      <c r="G37" s="31"/>
      <c r="H37" s="31"/>
      <c r="I37" s="31"/>
      <c r="J37" s="31"/>
      <c r="K37" s="31"/>
      <c r="L37" s="31"/>
    </row>
    <row r="38" spans="1:12" s="106" customFormat="1" ht="28.5" customHeight="1">
      <c r="A38" s="31"/>
      <c r="B38" s="32"/>
      <c r="C38" s="31"/>
      <c r="D38" s="31"/>
      <c r="E38" s="31"/>
      <c r="F38" s="31"/>
      <c r="G38" s="31"/>
      <c r="H38" s="31"/>
      <c r="I38" s="31"/>
      <c r="J38" s="31"/>
      <c r="K38" s="31"/>
      <c r="L38" s="31"/>
    </row>
    <row r="39" spans="1:12" s="106" customFormat="1" ht="28.5" customHeight="1">
      <c r="A39" s="31"/>
      <c r="B39" s="32"/>
      <c r="C39" s="31"/>
      <c r="D39" s="31"/>
      <c r="E39" s="31"/>
      <c r="F39" s="31"/>
      <c r="G39" s="31"/>
      <c r="H39" s="31"/>
      <c r="I39" s="31"/>
      <c r="J39" s="31"/>
      <c r="K39" s="31"/>
      <c r="L39" s="31"/>
    </row>
    <row r="40" spans="1:12" s="106" customFormat="1" ht="28.5" customHeight="1">
      <c r="A40" s="31"/>
      <c r="B40" s="32"/>
      <c r="C40" s="31"/>
      <c r="D40" s="31"/>
      <c r="E40" s="31"/>
      <c r="F40" s="31"/>
      <c r="G40" s="31"/>
      <c r="H40" s="31"/>
      <c r="I40" s="31"/>
      <c r="J40" s="31"/>
      <c r="K40" s="31"/>
      <c r="L40" s="31"/>
    </row>
    <row r="41" spans="1:12" s="106" customFormat="1" ht="28.5" customHeight="1">
      <c r="A41" s="31"/>
      <c r="B41" s="32"/>
      <c r="C41" s="31"/>
      <c r="D41" s="31"/>
      <c r="E41" s="31"/>
      <c r="F41" s="31"/>
      <c r="G41" s="31"/>
      <c r="H41" s="31"/>
      <c r="I41" s="31"/>
      <c r="J41" s="31"/>
      <c r="K41" s="31"/>
      <c r="L41" s="31"/>
    </row>
    <row r="42" spans="1:12" s="106" customFormat="1" ht="28.5" customHeight="1">
      <c r="A42" s="31"/>
      <c r="B42" s="32"/>
      <c r="C42" s="31"/>
      <c r="D42" s="31"/>
      <c r="E42" s="31"/>
      <c r="F42" s="31"/>
      <c r="G42" s="31"/>
      <c r="H42" s="31"/>
      <c r="I42" s="31"/>
      <c r="J42" s="31"/>
      <c r="K42" s="31"/>
      <c r="L42" s="31"/>
    </row>
    <row r="43" spans="1:12" s="106" customFormat="1" ht="28.5" customHeight="1">
      <c r="A43" s="31"/>
      <c r="B43" s="32"/>
      <c r="C43" s="31"/>
      <c r="D43" s="31"/>
      <c r="E43" s="31"/>
      <c r="F43" s="31"/>
      <c r="G43" s="31"/>
      <c r="H43" s="31"/>
      <c r="I43" s="31"/>
      <c r="J43" s="31"/>
      <c r="K43" s="31"/>
      <c r="L43" s="31"/>
    </row>
    <row r="44" spans="1:12" s="106" customFormat="1" ht="28.5" customHeight="1">
      <c r="A44" s="31"/>
      <c r="B44" s="32"/>
      <c r="C44" s="31"/>
      <c r="D44" s="31"/>
      <c r="E44" s="31"/>
      <c r="F44" s="31"/>
      <c r="G44" s="31"/>
      <c r="H44" s="31"/>
      <c r="I44" s="31"/>
      <c r="J44" s="31"/>
      <c r="K44" s="31"/>
      <c r="L44" s="31"/>
    </row>
    <row r="45" spans="1:12" s="106" customFormat="1" ht="28.5" customHeight="1">
      <c r="A45" s="31"/>
      <c r="B45" s="32"/>
      <c r="C45" s="31"/>
      <c r="D45" s="31"/>
      <c r="E45" s="31"/>
      <c r="F45" s="31"/>
      <c r="G45" s="31"/>
      <c r="H45" s="31"/>
      <c r="I45" s="31"/>
      <c r="J45" s="31"/>
      <c r="K45" s="31"/>
      <c r="L45" s="31"/>
    </row>
    <row r="46" spans="1:12" s="106" customFormat="1" ht="28.5" customHeight="1">
      <c r="A46" s="31"/>
      <c r="B46" s="32"/>
      <c r="C46" s="31"/>
      <c r="D46" s="31"/>
      <c r="E46" s="31"/>
      <c r="F46" s="31"/>
      <c r="G46" s="31"/>
      <c r="H46" s="31"/>
      <c r="I46" s="31"/>
      <c r="J46" s="31"/>
      <c r="K46" s="31"/>
      <c r="L46" s="31"/>
    </row>
    <row r="47" spans="1:12" s="106" customFormat="1" ht="28.5" customHeight="1">
      <c r="A47" s="31"/>
      <c r="B47" s="32"/>
      <c r="C47" s="31"/>
      <c r="D47" s="31"/>
      <c r="E47" s="31"/>
      <c r="F47" s="31"/>
      <c r="G47" s="31"/>
      <c r="H47" s="31"/>
      <c r="I47" s="31"/>
      <c r="J47" s="31"/>
      <c r="K47" s="31"/>
      <c r="L47" s="31"/>
    </row>
    <row r="48" spans="1:12" s="106" customFormat="1" ht="28.5" customHeight="1">
      <c r="A48" s="31"/>
      <c r="B48" s="32"/>
      <c r="C48" s="31"/>
      <c r="D48" s="31"/>
      <c r="E48" s="31"/>
      <c r="F48" s="31"/>
      <c r="G48" s="31"/>
      <c r="H48" s="31"/>
      <c r="I48" s="31"/>
      <c r="J48" s="31"/>
      <c r="K48" s="31"/>
      <c r="L48" s="31"/>
    </row>
    <row r="49" spans="1:12" s="106" customFormat="1" ht="28.5" customHeight="1">
      <c r="A49" s="31"/>
      <c r="B49" s="32"/>
      <c r="C49" s="31"/>
      <c r="D49" s="31"/>
      <c r="E49" s="31"/>
      <c r="F49" s="31"/>
      <c r="G49" s="31"/>
      <c r="H49" s="31"/>
      <c r="I49" s="31"/>
      <c r="J49" s="31"/>
      <c r="K49" s="31"/>
      <c r="L49" s="31"/>
    </row>
    <row r="50" spans="1:12" s="106" customFormat="1" ht="28.5" customHeight="1">
      <c r="A50" s="31"/>
      <c r="B50" s="32"/>
      <c r="C50" s="31"/>
      <c r="D50" s="31"/>
      <c r="E50" s="31"/>
      <c r="F50" s="31"/>
      <c r="G50" s="31"/>
      <c r="H50" s="31"/>
      <c r="I50" s="31"/>
      <c r="J50" s="31"/>
      <c r="K50" s="31"/>
      <c r="L50" s="31"/>
    </row>
    <row r="51" spans="1:12" s="106" customFormat="1" ht="28.5" customHeight="1">
      <c r="A51" s="31"/>
      <c r="B51" s="32"/>
      <c r="C51" s="31"/>
      <c r="D51" s="31"/>
      <c r="E51" s="31"/>
      <c r="F51" s="31"/>
      <c r="G51" s="31"/>
      <c r="H51" s="31"/>
      <c r="I51" s="31"/>
      <c r="J51" s="31"/>
      <c r="K51" s="31"/>
      <c r="L51" s="31"/>
    </row>
    <row r="52" spans="1:12" s="106" customFormat="1" ht="28.5" customHeight="1">
      <c r="A52" s="31"/>
      <c r="B52" s="32"/>
      <c r="C52" s="31"/>
      <c r="D52" s="31"/>
      <c r="E52" s="31"/>
      <c r="F52" s="31"/>
      <c r="G52" s="31"/>
      <c r="H52" s="31"/>
      <c r="I52" s="31"/>
      <c r="J52" s="31"/>
      <c r="K52" s="31"/>
      <c r="L52" s="31"/>
    </row>
    <row r="53" spans="1:12" s="106" customFormat="1" ht="28.5" customHeight="1">
      <c r="A53" s="31"/>
      <c r="B53" s="32"/>
      <c r="C53" s="31"/>
      <c r="D53" s="31"/>
      <c r="E53" s="31"/>
      <c r="F53" s="31"/>
      <c r="G53" s="31"/>
      <c r="H53" s="31"/>
      <c r="I53" s="31"/>
      <c r="J53" s="31"/>
      <c r="K53" s="31"/>
      <c r="L53" s="31"/>
    </row>
    <row r="54" spans="1:12" s="106" customFormat="1" ht="28.5" customHeight="1">
      <c r="A54" s="31"/>
      <c r="B54" s="32"/>
      <c r="C54" s="31"/>
      <c r="D54" s="31"/>
      <c r="E54" s="31"/>
      <c r="F54" s="31"/>
      <c r="G54" s="31"/>
      <c r="H54" s="31"/>
      <c r="I54" s="31"/>
      <c r="J54" s="31"/>
      <c r="K54" s="31"/>
      <c r="L54" s="31"/>
    </row>
    <row r="55" spans="1:12" s="106" customFormat="1" ht="28.5" customHeight="1">
      <c r="A55" s="31"/>
      <c r="B55" s="32"/>
      <c r="C55" s="31"/>
      <c r="D55" s="31"/>
      <c r="E55" s="31"/>
      <c r="F55" s="31"/>
      <c r="G55" s="31"/>
      <c r="H55" s="31"/>
      <c r="I55" s="31"/>
      <c r="J55" s="31"/>
      <c r="K55" s="31"/>
      <c r="L55" s="31"/>
    </row>
    <row r="56" spans="1:12" s="106" customFormat="1" ht="28.5" customHeight="1">
      <c r="A56" s="31"/>
      <c r="B56" s="32"/>
      <c r="C56" s="31"/>
      <c r="D56" s="31"/>
      <c r="E56" s="31"/>
      <c r="F56" s="31"/>
      <c r="G56" s="31"/>
      <c r="H56" s="31"/>
      <c r="I56" s="31"/>
      <c r="J56" s="31"/>
      <c r="K56" s="31"/>
      <c r="L56" s="31"/>
    </row>
    <row r="57" spans="1:12" s="106" customFormat="1" ht="28.5" customHeight="1">
      <c r="A57" s="31"/>
      <c r="B57" s="32"/>
      <c r="C57" s="31"/>
      <c r="D57" s="31"/>
      <c r="E57" s="31"/>
      <c r="F57" s="31"/>
      <c r="G57" s="31"/>
      <c r="H57" s="31"/>
      <c r="I57" s="31"/>
      <c r="J57" s="31"/>
      <c r="K57" s="31"/>
      <c r="L57" s="31"/>
    </row>
    <row r="58" spans="1:12">
      <c r="B58" s="34"/>
    </row>
  </sheetData>
  <mergeCells count="23">
    <mergeCell ref="G25:L25"/>
    <mergeCell ref="F25:F26"/>
    <mergeCell ref="A25:A26"/>
    <mergeCell ref="B25:B26"/>
    <mergeCell ref="C25:C26"/>
    <mergeCell ref="D25:D26"/>
    <mergeCell ref="E25:E26"/>
    <mergeCell ref="E2:K2"/>
    <mergeCell ref="D4:G4"/>
    <mergeCell ref="B9:C9"/>
    <mergeCell ref="B10:C10"/>
    <mergeCell ref="A5:C8"/>
    <mergeCell ref="D5:G5"/>
    <mergeCell ref="D6:G6"/>
    <mergeCell ref="D7:G7"/>
    <mergeCell ref="H4:K4"/>
    <mergeCell ref="H5:K5"/>
    <mergeCell ref="H6:K6"/>
    <mergeCell ref="H7:K7"/>
    <mergeCell ref="D9:F9"/>
    <mergeCell ref="D10:F10"/>
    <mergeCell ref="G9:K9"/>
    <mergeCell ref="G10:K10"/>
  </mergeCells>
  <dataValidations count="4">
    <dataValidation type="list" allowBlank="1" showInputMessage="1" showErrorMessage="1" errorTitle="Invalid Entry" error="Invalid Entry" sqref="D27:D57" xr:uid="{00000000-0002-0000-0C00-000000000000}">
      <formula1>ACTNAM</formula1>
    </dataValidation>
    <dataValidation type="list" allowBlank="1" showInputMessage="1" showErrorMessage="1" errorTitle="Invalid Entry" error="Invalid Entry" sqref="C27:C57" xr:uid="{00000000-0002-0000-0C00-000001000000}">
      <formula1>FaceRecess</formula1>
    </dataValidation>
    <dataValidation type="list" allowBlank="1" showInputMessage="1" showErrorMessage="1" errorTitle="Invalid Entry" error="Invalid Entry" sqref="B27:B57" xr:uid="{00000000-0002-0000-0C00-000002000000}">
      <formula1>BlindType</formula1>
    </dataValidation>
    <dataValidation type="list" allowBlank="1" showInputMessage="1" showErrorMessage="1" errorTitle="Invalid Entry" error="Invalid Entry" sqref="E27:E57" xr:uid="{00000000-0002-0000-0C00-000003000000}">
      <formula1>INDIRECT(C27)</formula1>
    </dataValidation>
  </dataValidations>
  <hyperlinks>
    <hyperlink ref="G10" r:id="rId1" xr:uid="{00000000-0004-0000-0C00-000000000000}"/>
    <hyperlink ref="G9" r:id="rId2" xr:uid="{00000000-0004-0000-0C00-000001000000}"/>
  </hyperlinks>
  <printOptions horizontalCentered="1"/>
  <pageMargins left="0.19685039370078741" right="0.19685039370078741" top="0.23622047244094491" bottom="0.23622047244094491" header="0.19685039370078741" footer="0.19685039370078741"/>
  <pageSetup paperSize="9" scale="65" orientation="portrait" r:id="rId3"/>
  <headerFooter alignWithMargins="0"/>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656</vt:i4>
      </vt:variant>
    </vt:vector>
  </HeadingPairs>
  <TitlesOfParts>
    <vt:vector size="670" baseType="lpstr">
      <vt:lpstr>Stores &amp; Delivery Addresses </vt:lpstr>
      <vt:lpstr>Summary</vt:lpstr>
      <vt:lpstr>25mm Aluminium Blinds</vt:lpstr>
      <vt:lpstr>50mm &amp; 63mm Venetian Blinds</vt:lpstr>
      <vt:lpstr>Roller Blinds</vt:lpstr>
      <vt:lpstr>Vertical Blinds</vt:lpstr>
      <vt:lpstr>Cellular Blinds</vt:lpstr>
      <vt:lpstr>Panel Glide Blinds</vt:lpstr>
      <vt:lpstr>Transition Blinds</vt:lpstr>
      <vt:lpstr>Shutters Page 1</vt:lpstr>
      <vt:lpstr>Shutters Page 2</vt:lpstr>
      <vt:lpstr>Data</vt:lpstr>
      <vt:lpstr>CMB Corner WS</vt:lpstr>
      <vt:lpstr>CMB Bay WS</vt:lpstr>
      <vt:lpstr>_25mm_Single_Cellular_Blind_Blockout_Standard</vt:lpstr>
      <vt:lpstr>_25mm_Single_Cellular_Blind_Translucent_Paisley</vt:lpstr>
      <vt:lpstr>_25mm_Single_Cellular_Blind_Translucent_Sheer</vt:lpstr>
      <vt:lpstr>_25mm_Single_Cellular_Blind_Translucent_Standard</vt:lpstr>
      <vt:lpstr>_25mm_Single_Cellular_Blind_Translucent_Thatched</vt:lpstr>
      <vt:lpstr>_25mm_Single_Cellular_Blind_Translucent_Woven</vt:lpstr>
      <vt:lpstr>_38mm_Double_Cellular_Blind_Blockout_Standard</vt:lpstr>
      <vt:lpstr>_38mm_Double_Cellular_Blind_Translucent_Standard</vt:lpstr>
      <vt:lpstr>_38mm_Single_Cellular_Blind_Blockout_Standard</vt:lpstr>
      <vt:lpstr>_38mm_Single_Cellular_Blind_Translucent_Crush</vt:lpstr>
      <vt:lpstr>_38mm_Single_Cellular_Blind_Translucent_Linen</vt:lpstr>
      <vt:lpstr>_38mm_Single_Cellular_Blind_Translucent_Paisley</vt:lpstr>
      <vt:lpstr>_38mm_Single_Cellular_Blind_Translucent_Sheer</vt:lpstr>
      <vt:lpstr>_38mm_Single_Cellular_Blind_Translucent_Standard</vt:lpstr>
      <vt:lpstr>_38mm_Single_Cellular_Blind_Translucent_Thatched</vt:lpstr>
      <vt:lpstr>_38mm_Single_Cellular_Blind_Translucent_Woven</vt:lpstr>
      <vt:lpstr>ACTNAM</vt:lpstr>
      <vt:lpstr>Additional_Fascia_100mm_x_12mm</vt:lpstr>
      <vt:lpstr>Additional_Fascia_100mm_x_9.5mm_Material</vt:lpstr>
      <vt:lpstr>Additional_Fascia_140mm_x_12mm</vt:lpstr>
      <vt:lpstr>Additional_Fascia_140mm_x_9.5mm_Material</vt:lpstr>
      <vt:lpstr>Additional_Fascia_60mm_x_12mm</vt:lpstr>
      <vt:lpstr>Additional_Fascia_60mm_x_9.5mm_Material</vt:lpstr>
      <vt:lpstr>Additional_Headboard_100mm_x_19mm_Material</vt:lpstr>
      <vt:lpstr>Additional_Headboard_100mm_x_20mm</vt:lpstr>
      <vt:lpstr>Additional_Headboard_140mm_x_19mm_Material</vt:lpstr>
      <vt:lpstr>Additional_Headboard_140mm_x_20mm</vt:lpstr>
      <vt:lpstr>Additional_Headboard_180mm_x_19mm_Material</vt:lpstr>
      <vt:lpstr>Additional_Headboard_180mm_x_20mm</vt:lpstr>
      <vt:lpstr>Additional_Headboard_220mm_x_19mm_Material</vt:lpstr>
      <vt:lpstr>Additional_Headboard_220mm_x_20mm</vt:lpstr>
      <vt:lpstr>Air_Double_Hinged_Frame_Type</vt:lpstr>
      <vt:lpstr>Air_Hinged_Frame_TypeIN</vt:lpstr>
      <vt:lpstr>Air_Hinged_Frame_TypeOUT</vt:lpstr>
      <vt:lpstr>AirHardware</vt:lpstr>
      <vt:lpstr>AirHingeColour</vt:lpstr>
      <vt:lpstr>AirSpecialComments</vt:lpstr>
      <vt:lpstr>AlumColours</vt:lpstr>
      <vt:lpstr>Amalfi</vt:lpstr>
      <vt:lpstr>AntiqueWhiteW140</vt:lpstr>
      <vt:lpstr>B1_Colour</vt:lpstr>
      <vt:lpstr>B10_Colour</vt:lpstr>
      <vt:lpstr>Bi_Fold_Bolt_Ring</vt:lpstr>
      <vt:lpstr>Bi_Fold_Bottom_Fixed_Pivot_Bracket_Pin</vt:lpstr>
      <vt:lpstr>Bi_Fold_Flush_Bolt_Timber_Only</vt:lpstr>
      <vt:lpstr>Bi_Fold_Frame_60mm_x_12mm</vt:lpstr>
      <vt:lpstr>Bi_Fold_Frame_60mm_x_9.5mm_Material</vt:lpstr>
      <vt:lpstr>Bi_Fold_Magnets</vt:lpstr>
      <vt:lpstr>Bi_Fold_Pull_Ring_Timber_Only</vt:lpstr>
      <vt:lpstr>BiFoldFauxwoodHingeNew</vt:lpstr>
      <vt:lpstr>BiFoldTimberPaintedHingeNew</vt:lpstr>
      <vt:lpstr>BiFoldTimberStainedHingeNew</vt:lpstr>
      <vt:lpstr>BL1_Colour</vt:lpstr>
      <vt:lpstr>BL11_Colour</vt:lpstr>
      <vt:lpstr>BL2_Colour</vt:lpstr>
      <vt:lpstr>BL9_Colour</vt:lpstr>
      <vt:lpstr>BlackWalnutW920</vt:lpstr>
      <vt:lpstr>BlindType</vt:lpstr>
      <vt:lpstr>Bottom_Pivot_Pin_For_Bi_Fold_Sliding_Panel</vt:lpstr>
      <vt:lpstr>Bottom_Rail_Colour</vt:lpstr>
      <vt:lpstr>BottomFrameBullnoseZFrame</vt:lpstr>
      <vt:lpstr>BottomFrameHangingStrip</vt:lpstr>
      <vt:lpstr>BottomFrameLargeBullnoseZFrame</vt:lpstr>
      <vt:lpstr>BottomFrameLargeFFLFrame</vt:lpstr>
      <vt:lpstr>BottomFrameLargeLFrame</vt:lpstr>
      <vt:lpstr>BottomFrameLargeZFrame</vt:lpstr>
      <vt:lpstr>BottomFrameMediumFFLFrame</vt:lpstr>
      <vt:lpstr>BottomFrameMediumFFLFrameFlat</vt:lpstr>
      <vt:lpstr>BottomFrameMediumLFrame</vt:lpstr>
      <vt:lpstr>BottomFrameNA</vt:lpstr>
      <vt:lpstr>BottomFrameNoFrame</vt:lpstr>
      <vt:lpstr>BottomFrameSliding</vt:lpstr>
      <vt:lpstr>BottomFrameSmallFFLFrame</vt:lpstr>
      <vt:lpstr>BottomFrameSmallLFrame</vt:lpstr>
      <vt:lpstr>BottomFrameStandardZFrame</vt:lpstr>
      <vt:lpstr>BottomFrameTrack</vt:lpstr>
      <vt:lpstr>BottomFrameTrackBiFold</vt:lpstr>
      <vt:lpstr>BottomFrameUChannel</vt:lpstr>
      <vt:lpstr>BottomSlidingBottomWheelFrame</vt:lpstr>
      <vt:lpstr>Bracket_Type</vt:lpstr>
      <vt:lpstr>Bullnose_Z_Frame_Material</vt:lpstr>
      <vt:lpstr>Bumper_Stop</vt:lpstr>
      <vt:lpstr>ButtThru</vt:lpstr>
      <vt:lpstr>Carrier_Bracket_For_Bi_Fold_Sliding_Panel</vt:lpstr>
      <vt:lpstr>CAT_GROUP_35_2234</vt:lpstr>
      <vt:lpstr>CAT_GROUP_35_2236</vt:lpstr>
      <vt:lpstr>CAT_GROUP_35_2237</vt:lpstr>
      <vt:lpstr>CAT_GROUP_35_2238</vt:lpstr>
      <vt:lpstr>CAT_GROUP_35_2295</vt:lpstr>
      <vt:lpstr>CAT_GROUP_35_2297</vt:lpstr>
      <vt:lpstr>CAT_GROUP_35_2317</vt:lpstr>
      <vt:lpstr>CAT_GROUP_36_2277</vt:lpstr>
      <vt:lpstr>CAT_GROUP_36_2278</vt:lpstr>
      <vt:lpstr>CAT_GROUP_36_2280</vt:lpstr>
      <vt:lpstr>CAT_GROUP_36_2281</vt:lpstr>
      <vt:lpstr>CAT_GROUP_36_2294</vt:lpstr>
      <vt:lpstr>CAT_GROUP_36_2299</vt:lpstr>
      <vt:lpstr>CAT_GROUP_36_2313</vt:lpstr>
      <vt:lpstr>CAT_GROUP_36_2315</vt:lpstr>
      <vt:lpstr>CAT_GROUP_37_2290</vt:lpstr>
      <vt:lpstr>CAT_GROUP_37_2291</vt:lpstr>
      <vt:lpstr>CAT_GROUP_37_2292</vt:lpstr>
      <vt:lpstr>CAT_GROUP_37_2293</vt:lpstr>
      <vt:lpstr>CAT_GROUP_37_2296</vt:lpstr>
      <vt:lpstr>CAT_GROUP_37_2298</vt:lpstr>
      <vt:lpstr>CAT_GROUP_37_2312</vt:lpstr>
      <vt:lpstr>CAT_GROUP_37_2316</vt:lpstr>
      <vt:lpstr>CAT_GROUP_38_2300</vt:lpstr>
      <vt:lpstr>CAT_GROUP_38_2301</vt:lpstr>
      <vt:lpstr>CAT_GROUP_38_2302</vt:lpstr>
      <vt:lpstr>CAT_GROUP_38_2303</vt:lpstr>
      <vt:lpstr>CAT_GROUP_38_2304</vt:lpstr>
      <vt:lpstr>CAT_GROUP_38_2305</vt:lpstr>
      <vt:lpstr>CAT_GROUP_38_2311</vt:lpstr>
      <vt:lpstr>CAT_GROUP_38_2314</vt:lpstr>
      <vt:lpstr>CAT_STYLE_35_1000</vt:lpstr>
      <vt:lpstr>CAT_STYLE_36_8000</vt:lpstr>
      <vt:lpstr>CAT_STYLE_37_8100</vt:lpstr>
      <vt:lpstr>CAT_STYLE_38_8000</vt:lpstr>
      <vt:lpstr>CategoryList</vt:lpstr>
      <vt:lpstr>CategoryList_LK</vt:lpstr>
      <vt:lpstr>CedarImageMediumW868</vt:lpstr>
      <vt:lpstr>Cellular_Colour_2_25mm_Single_Cellular_Blind</vt:lpstr>
      <vt:lpstr>Cellular_Colour_2_38mm_Double_Cellular_Blind</vt:lpstr>
      <vt:lpstr>Cellular_Colour_2_38mm_Single_Cellular_Blind</vt:lpstr>
      <vt:lpstr>Cellular_Colour_2_NA</vt:lpstr>
      <vt:lpstr>CellularBlindProduct</vt:lpstr>
      <vt:lpstr>CellularControl</vt:lpstr>
      <vt:lpstr>CellularControlLength</vt:lpstr>
      <vt:lpstr>CellularMotorOptions</vt:lpstr>
      <vt:lpstr>CellularOperation</vt:lpstr>
      <vt:lpstr>Chain_Colour</vt:lpstr>
      <vt:lpstr>Chain_Cord_Length</vt:lpstr>
      <vt:lpstr>Classic_Deco_Frame</vt:lpstr>
      <vt:lpstr>Clutch_Day_Night</vt:lpstr>
      <vt:lpstr>Clutch_Day_Night_25mm_Single</vt:lpstr>
      <vt:lpstr>Clutch_Day_Night_38mm_Double</vt:lpstr>
      <vt:lpstr>Clutch_Day_Night_38mm_Single</vt:lpstr>
      <vt:lpstr>Clutch_Day_Night_Control</vt:lpstr>
      <vt:lpstr>Clutch_Standard</vt:lpstr>
      <vt:lpstr>Clutch_Standard_25mm_Single</vt:lpstr>
      <vt:lpstr>Clutch_Standard_38mm_Double</vt:lpstr>
      <vt:lpstr>Clutch_Standard_38mm_Single</vt:lpstr>
      <vt:lpstr>Clutch_Standard_Control</vt:lpstr>
      <vt:lpstr>Clutch_Top_Down__Bottom_Up</vt:lpstr>
      <vt:lpstr>Clutch_Top_Down_Bottom_Up_25mm_Single</vt:lpstr>
      <vt:lpstr>Clutch_Top_Down_Bottom_Up_38mm_Double</vt:lpstr>
      <vt:lpstr>Clutch_Top_Down_Bottom_Up_38mm_Single</vt:lpstr>
      <vt:lpstr>Clutch_Top_Down_Bottom_Up_Control</vt:lpstr>
      <vt:lpstr>CMBEmail</vt:lpstr>
      <vt:lpstr>CMBPhone</vt:lpstr>
      <vt:lpstr>CoffeeW890</vt:lpstr>
      <vt:lpstr>Colour2_25mm_Single_Cellular_Blind_Translucent_Paisley</vt:lpstr>
      <vt:lpstr>Colour2_25mm_Single_Cellular_Blind_Translucent_Sheer</vt:lpstr>
      <vt:lpstr>Colour2_25mm_Single_Cellular_Blind_Translucent_Standard</vt:lpstr>
      <vt:lpstr>Colour2_25mm_Single_Cellular_Blind_Translucent_Thatched</vt:lpstr>
      <vt:lpstr>Colour2_25mm_Single_Cellular_Blind_Translucent_Woven</vt:lpstr>
      <vt:lpstr>Colour2_38mm_Double_Cellular_Blind_Translucent_Standard</vt:lpstr>
      <vt:lpstr>Colour2_38mm_Single_Cellular_Blind_Translucent_Crush</vt:lpstr>
      <vt:lpstr>Colour2_38mm_Single_Cellular_Blind_Translucent_Linen</vt:lpstr>
      <vt:lpstr>Colour2_38mm_Single_Cellular_Blind_Translucent_Paisley</vt:lpstr>
      <vt:lpstr>Colour2_38mm_Single_Cellular_Blind_Translucent_Sheer</vt:lpstr>
      <vt:lpstr>Colour2_38mm_Single_Cellular_Blind_Translucent_Standard</vt:lpstr>
      <vt:lpstr>Colour2_38mm_Single_Cellular_Blind_Translucent_Thatched</vt:lpstr>
      <vt:lpstr>Colour2_38mm_Single_Cellular_Blind_Translucent_Woven</vt:lpstr>
      <vt:lpstr>ColourNA</vt:lpstr>
      <vt:lpstr>Como_Blockout</vt:lpstr>
      <vt:lpstr>Como_Translucent</vt:lpstr>
      <vt:lpstr>Concealed_Bi_Fold_Hinge</vt:lpstr>
      <vt:lpstr>Control_Clutch_Day_Night</vt:lpstr>
      <vt:lpstr>Control_Clutch_Standard</vt:lpstr>
      <vt:lpstr>Control_Clutch_Top_Down__Bottom_Up</vt:lpstr>
      <vt:lpstr>Control_Corded_Day_Night</vt:lpstr>
      <vt:lpstr>Control_Corded_Standard</vt:lpstr>
      <vt:lpstr>Control_Corded_Top_Down__Bottom_Up</vt:lpstr>
      <vt:lpstr>Control_Cordless_Day_Night</vt:lpstr>
      <vt:lpstr>Control_Cordless_Standard</vt:lpstr>
      <vt:lpstr>Control_Cordless_Top_Down__Bottom_Up</vt:lpstr>
      <vt:lpstr>Control_Motorised_Battery</vt:lpstr>
      <vt:lpstr>Control_Motorised_Hardwired</vt:lpstr>
      <vt:lpstr>ControlOption</vt:lpstr>
      <vt:lpstr>Cord_Colour</vt:lpstr>
      <vt:lpstr>Corded_Day_Night</vt:lpstr>
      <vt:lpstr>Corded_Day_Night_25mm_Single</vt:lpstr>
      <vt:lpstr>Corded_Day_Night_38mm_Double</vt:lpstr>
      <vt:lpstr>Corded_Day_Night_38mm_Single</vt:lpstr>
      <vt:lpstr>Corded_Day_Night_Control</vt:lpstr>
      <vt:lpstr>Corded_Standard</vt:lpstr>
      <vt:lpstr>Corded_Standard_25mm_Single</vt:lpstr>
      <vt:lpstr>Corded_Standard_38mm_Double</vt:lpstr>
      <vt:lpstr>Corded_Standard_38mm_Single</vt:lpstr>
      <vt:lpstr>Corded_Standard_Control</vt:lpstr>
      <vt:lpstr>Corded_Top_Down__Bottom_Up</vt:lpstr>
      <vt:lpstr>Corded_Top_Down_Bottom_Up_25mm_Single</vt:lpstr>
      <vt:lpstr>Corded_Top_Down_Bottom_Up_38mm_Double</vt:lpstr>
      <vt:lpstr>Corded_Top_Down_Bottom_Up_38mm_Single</vt:lpstr>
      <vt:lpstr>Corded_Top_Down_Bottom_Up_Control</vt:lpstr>
      <vt:lpstr>Cordless_Day_Night</vt:lpstr>
      <vt:lpstr>Cordless_Day_Night_25mm_Single</vt:lpstr>
      <vt:lpstr>Cordless_Day_Night_38mm_Double</vt:lpstr>
      <vt:lpstr>Cordless_Day_Night_38mm_Single</vt:lpstr>
      <vt:lpstr>Cordless_Day_Night_Control</vt:lpstr>
      <vt:lpstr>Cordless_Standard</vt:lpstr>
      <vt:lpstr>Cordless_Standard_25mm_Single</vt:lpstr>
      <vt:lpstr>Cordless_Standard_38mm_Double</vt:lpstr>
      <vt:lpstr>Cordless_Standard_38mm_Single</vt:lpstr>
      <vt:lpstr>Cordless_Standard_Control</vt:lpstr>
      <vt:lpstr>Cordless_Top_Down__Bottom_Up</vt:lpstr>
      <vt:lpstr>Cordless_Top_Down_Bottom_Up_25mm_Single</vt:lpstr>
      <vt:lpstr>Cordless_Top_Down_Bottom_Up_38mm_Double</vt:lpstr>
      <vt:lpstr>Cordless_Top_Down_Bottom_Up_38mm_Single</vt:lpstr>
      <vt:lpstr>Cordless_Top_Down_Bottom_Up_Control</vt:lpstr>
      <vt:lpstr>Cordless_Wand_Operated</vt:lpstr>
      <vt:lpstr>Cordless_Wand_Operated_Control</vt:lpstr>
      <vt:lpstr>Cover_Strip_To_Fit_Face_Fit_Frame_12.5mm_x_5mm</vt:lpstr>
      <vt:lpstr>Cover_Strip_To_Fit_Face_Fit_Frame_15.4mm_x_6mm</vt:lpstr>
      <vt:lpstr>Cover_Strip_To_Fit_Face_Fit_Frame_17mm_x_5mm</vt:lpstr>
      <vt:lpstr>DarkCherryW894</vt:lpstr>
      <vt:lpstr>DarkChestnutPT067</vt:lpstr>
      <vt:lpstr>Delivery_Address</vt:lpstr>
      <vt:lpstr>Divider_Rail_Mid_Rail__Centre_Rail___76.2mm_x_21mm___Standard_Profile</vt:lpstr>
      <vt:lpstr>Divider_Rail_Mid_Rail_Centre_Rail_79.5mm_x_21mm</vt:lpstr>
      <vt:lpstr>Divider_Rail_Mid_Rail_Centre_Rail_79.5mm_x_21mm___Standard_Profile</vt:lpstr>
      <vt:lpstr>Divider_Rail_Mid_Rail_Centre_Rail_79.5mm_x_21mm_Standard_Profile</vt:lpstr>
      <vt:lpstr>Divider_RailMid_Rail__Centre_Rail___76.2mm_x_21mm___Standard_Profile</vt:lpstr>
      <vt:lpstr>Divider_RailMid_Rail__Centre_Rail___98mm_x_19mm___Reinforced_Curved_Profile</vt:lpstr>
      <vt:lpstr>Divider_RailMid_Rail_Centre_Rail_76.2mm_x_21mm_Standard_Profile</vt:lpstr>
      <vt:lpstr>Divider_RailMid_Rail_Centre_Rail_79.5mm_x_21mm_Reinforced_Profile</vt:lpstr>
      <vt:lpstr>Divider_RailMid_Rail_Centre_Rail_98mm_x_19mm_Reinforced_Curved_Profile</vt:lpstr>
      <vt:lpstr>Double_Hinged_BFT</vt:lpstr>
      <vt:lpstr>Double_Hinged_Frame_Type</vt:lpstr>
      <vt:lpstr>Double_Hinged_TF</vt:lpstr>
      <vt:lpstr>Double38mmTube</vt:lpstr>
      <vt:lpstr>Double45mmTube</vt:lpstr>
      <vt:lpstr>DoubleHingedLayoutCodes</vt:lpstr>
      <vt:lpstr>DoubleLink38mmTube</vt:lpstr>
      <vt:lpstr>DoubleLink45mmTube</vt:lpstr>
      <vt:lpstr>DS1_Colour</vt:lpstr>
      <vt:lpstr>DS6_Colour</vt:lpstr>
      <vt:lpstr>E1_Colour</vt:lpstr>
      <vt:lpstr>Eco_Air_Blade</vt:lpstr>
      <vt:lpstr>EcoAirExtras</vt:lpstr>
      <vt:lpstr>EggshellW405</vt:lpstr>
      <vt:lpstr>Extras</vt:lpstr>
      <vt:lpstr>ExtrasMaterial</vt:lpstr>
      <vt:lpstr>Fabric_127mm</vt:lpstr>
      <vt:lpstr>Fabric_89mm</vt:lpstr>
      <vt:lpstr>Fabric_Insert_NA</vt:lpstr>
      <vt:lpstr>Fabric_Insert_Option</vt:lpstr>
      <vt:lpstr>Fabric127mm</vt:lpstr>
      <vt:lpstr>Fabric89mm</vt:lpstr>
      <vt:lpstr>FabricSlatWidth</vt:lpstr>
      <vt:lpstr>FACE</vt:lpstr>
      <vt:lpstr>FaceRecess</vt:lpstr>
      <vt:lpstr>Fauxwood_Blade</vt:lpstr>
      <vt:lpstr>Fauxwood_Blockout_Blade</vt:lpstr>
      <vt:lpstr>Fauxwood_Eco_Air</vt:lpstr>
      <vt:lpstr>Fauxwood_Eco_Air_OLD</vt:lpstr>
      <vt:lpstr>Fauxwood_Eco_Elite</vt:lpstr>
      <vt:lpstr>Fauxwood_Night</vt:lpstr>
      <vt:lpstr>FauxwoodAI</vt:lpstr>
      <vt:lpstr>FauxwoodAINo</vt:lpstr>
      <vt:lpstr>FauxwoodBlockoutN</vt:lpstr>
      <vt:lpstr>FauxwoodBlockoutT</vt:lpstr>
      <vt:lpstr>FauxwoodEcoHingeNew</vt:lpstr>
      <vt:lpstr>FauxwoodExtraOptionsStd</vt:lpstr>
      <vt:lpstr>FauxwoodExtrasOptions</vt:lpstr>
      <vt:lpstr>FauxwoodHangingStripHingeNew</vt:lpstr>
      <vt:lpstr>FauxwoodLiteTiltrod</vt:lpstr>
      <vt:lpstr>FauxwoodRPNo</vt:lpstr>
      <vt:lpstr>FauxwoodStile</vt:lpstr>
      <vt:lpstr>FauxwoodT</vt:lpstr>
      <vt:lpstr>FauxwoodY</vt:lpstr>
      <vt:lpstr>FBOAntiqueWhiteF140</vt:lpstr>
      <vt:lpstr>FBOOffWhiteF286</vt:lpstr>
      <vt:lpstr>FBOWhiteF186</vt:lpstr>
      <vt:lpstr>Fixed_BFT</vt:lpstr>
      <vt:lpstr>Fixed_Frame_Type</vt:lpstr>
      <vt:lpstr>Fixed_TF</vt:lpstr>
      <vt:lpstr>FixedLayoutCodes</vt:lpstr>
      <vt:lpstr>Flat_Hinge</vt:lpstr>
      <vt:lpstr>Floor_Guide</vt:lpstr>
      <vt:lpstr>Florence</vt:lpstr>
      <vt:lpstr>Fluffy_Strip_Fauxwood_Eco</vt:lpstr>
      <vt:lpstr>Fluffy_Strip_Fauxwood_Lite</vt:lpstr>
      <vt:lpstr>Fluffy_Strip_Fauxwood_Night</vt:lpstr>
      <vt:lpstr>Fluffy_Strip_Timber_Eco</vt:lpstr>
      <vt:lpstr>FR_S6_Colour</vt:lpstr>
      <vt:lpstr>FrameType</vt:lpstr>
      <vt:lpstr>Hanging_Strip_30mm_x_25.4mm_Material</vt:lpstr>
      <vt:lpstr>Hanging_Strip_35mm_x_25.5mm_Material</vt:lpstr>
      <vt:lpstr>Hanging_Strip_35mm_x_28.6mm_Material</vt:lpstr>
      <vt:lpstr>Hardware</vt:lpstr>
      <vt:lpstr>Head_Box_Colour</vt:lpstr>
      <vt:lpstr>HelperSpringControlNo</vt:lpstr>
      <vt:lpstr>HelperSpringControlYes</vt:lpstr>
      <vt:lpstr>Herman_Joints</vt:lpstr>
      <vt:lpstr>Hidden_Tiltrod_114mm</vt:lpstr>
      <vt:lpstr>Hidden_Tiltrod_63mm</vt:lpstr>
      <vt:lpstr>Hidden_Tiltrod_89mm</vt:lpstr>
      <vt:lpstr>Hidden_Tiltrod_89mm_Air</vt:lpstr>
      <vt:lpstr>Hinge</vt:lpstr>
      <vt:lpstr>Hinge_Packer</vt:lpstr>
      <vt:lpstr>Hinge_Pin</vt:lpstr>
      <vt:lpstr>Hinged_BFT</vt:lpstr>
      <vt:lpstr>Hinged_Frame_Type</vt:lpstr>
      <vt:lpstr>Hinged_TF</vt:lpstr>
      <vt:lpstr>HingedAirLayoutCodes</vt:lpstr>
      <vt:lpstr>HingedLayoutCodes</vt:lpstr>
      <vt:lpstr>HingeNA</vt:lpstr>
      <vt:lpstr>HingeNANew</vt:lpstr>
      <vt:lpstr>HoldDown</vt:lpstr>
      <vt:lpstr>Illusion_Alabaster_V484</vt:lpstr>
      <vt:lpstr>Jacquard_Crush_Jacquard_Weave_Bottom_Rail_Colour</vt:lpstr>
      <vt:lpstr>JasperW498</vt:lpstr>
      <vt:lpstr>L_Bracket</vt:lpstr>
      <vt:lpstr>L_Drop_Hinge</vt:lpstr>
      <vt:lpstr>Large_Bullnose_Z_Frame_Material</vt:lpstr>
      <vt:lpstr>Large_Face_Fit_L_Frame_Material</vt:lpstr>
      <vt:lpstr>Large_Tube</vt:lpstr>
      <vt:lpstr>Large_Z_Frame_Material</vt:lpstr>
      <vt:lpstr>LayoutCodes</vt:lpstr>
      <vt:lpstr>LHRHCorner</vt:lpstr>
      <vt:lpstr>Light_Stop_19mm_x_19mm_Material</vt:lpstr>
      <vt:lpstr>Light_Stop_19mm_x_30mm_Material</vt:lpstr>
      <vt:lpstr>Light_Stop_19mm_x_9.5mm_Material</vt:lpstr>
      <vt:lpstr>Light_Stop_20mm_x_12mm_Material</vt:lpstr>
      <vt:lpstr>Light_Stop_20mm_x_20mm</vt:lpstr>
      <vt:lpstr>Light_Stop_20mm_x_30mm</vt:lpstr>
      <vt:lpstr>Light_Stop_20mm_x_5mm_Material</vt:lpstr>
      <vt:lpstr>Light_Stop_31.8mm_x_12mm</vt:lpstr>
      <vt:lpstr>Light_Stop_31.8mm_x_9.5mm_Material</vt:lpstr>
      <vt:lpstr>Light_Stop_40mm_x_30mm_Material</vt:lpstr>
      <vt:lpstr>Light_Stop_50mm_x_30mm_Material</vt:lpstr>
      <vt:lpstr>Link</vt:lpstr>
      <vt:lpstr>LiteAntiqueWhiteF140</vt:lpstr>
      <vt:lpstr>LiteOffWhiteF286</vt:lpstr>
      <vt:lpstr>LitePureWhiteF190</vt:lpstr>
      <vt:lpstr>LiteWhiteF186</vt:lpstr>
      <vt:lpstr>London</vt:lpstr>
      <vt:lpstr>LRF100mm</vt:lpstr>
      <vt:lpstr>LRF140mm</vt:lpstr>
      <vt:lpstr>LRF180mm</vt:lpstr>
      <vt:lpstr>LRF220mm</vt:lpstr>
      <vt:lpstr>LRFBullnoseZFrame</vt:lpstr>
      <vt:lpstr>LRFHangingStrip</vt:lpstr>
      <vt:lpstr>LRFLargeBullnoseZFrame</vt:lpstr>
      <vt:lpstr>LRFLargeFFLFrame</vt:lpstr>
      <vt:lpstr>LRFLargeLFrame</vt:lpstr>
      <vt:lpstr>LRFLargeZFrame</vt:lpstr>
      <vt:lpstr>LRFMediumFFLFrame</vt:lpstr>
      <vt:lpstr>LRFMediumLFrame</vt:lpstr>
      <vt:lpstr>LRFMediumLFrameFlat</vt:lpstr>
      <vt:lpstr>LRFNA</vt:lpstr>
      <vt:lpstr>LRFNoFrame</vt:lpstr>
      <vt:lpstr>LRFrameAir</vt:lpstr>
      <vt:lpstr>LRFSmallFFLFrame</vt:lpstr>
      <vt:lpstr>LRFSmallLFrame</vt:lpstr>
      <vt:lpstr>LRFStandardZFrame</vt:lpstr>
      <vt:lpstr>LRFUChannel</vt:lpstr>
      <vt:lpstr>LuminosityAndFabric</vt:lpstr>
      <vt:lpstr>LV1_Colour</vt:lpstr>
      <vt:lpstr>LV2_Colour</vt:lpstr>
      <vt:lpstr>Magnet_Catch</vt:lpstr>
      <vt:lpstr>MahoganyW306</vt:lpstr>
      <vt:lpstr>MapleW893</vt:lpstr>
      <vt:lpstr>Maui</vt:lpstr>
      <vt:lpstr>Medium_Face_Fit_L_Frame_Material</vt:lpstr>
      <vt:lpstr>Medium_L_Frame_Material</vt:lpstr>
      <vt:lpstr>Medium_Large_Face_Fit_L_Frame</vt:lpstr>
      <vt:lpstr>Medium_Large_L_Frame</vt:lpstr>
      <vt:lpstr>MediumLarge_Face_Fit_L_Frame</vt:lpstr>
      <vt:lpstr>MediumLarge_L_Frame</vt:lpstr>
      <vt:lpstr>MediumLarge_L_Frame_Flat</vt:lpstr>
      <vt:lpstr>Metal_Return_Clip_For_Fascia</vt:lpstr>
      <vt:lpstr>Milan</vt:lpstr>
      <vt:lpstr>MochaW811</vt:lpstr>
      <vt:lpstr>Motorised_Battery</vt:lpstr>
      <vt:lpstr>Motorised_Battery_25mm_Single</vt:lpstr>
      <vt:lpstr>Motorised_Battery_38mm_Double</vt:lpstr>
      <vt:lpstr>Motorised_Battery_38mm_Single</vt:lpstr>
      <vt:lpstr>Motorised_Battery_Control</vt:lpstr>
      <vt:lpstr>Motorised_Hardwired</vt:lpstr>
      <vt:lpstr>Motorised_Hardwired_25mm_Single</vt:lpstr>
      <vt:lpstr>Motorised_Hardwired_38mm_Double</vt:lpstr>
      <vt:lpstr>Motorised_Hardwired_38mm_Single</vt:lpstr>
      <vt:lpstr>Motorised_Hardwired_Control</vt:lpstr>
      <vt:lpstr>Mounting_Block_18mm_x_18mm_Material</vt:lpstr>
      <vt:lpstr>Mounting_Block_20mm_x_20mm_Material</vt:lpstr>
      <vt:lpstr>Mounting_Block_30mm_x_30mm_Material</vt:lpstr>
      <vt:lpstr>MountingMethod</vt:lpstr>
      <vt:lpstr>MountingMethodAirIN</vt:lpstr>
      <vt:lpstr>MountingMethodAirOUT</vt:lpstr>
      <vt:lpstr>MountingMethodIN</vt:lpstr>
      <vt:lpstr>MountingMethodMS</vt:lpstr>
      <vt:lpstr>MountingMethodOUT</vt:lpstr>
      <vt:lpstr>MSNALayoutCodes</vt:lpstr>
      <vt:lpstr>Multi_Shade</vt:lpstr>
      <vt:lpstr>Multi_Shade_Finish</vt:lpstr>
      <vt:lpstr>NA_BFT</vt:lpstr>
      <vt:lpstr>NA_TF</vt:lpstr>
      <vt:lpstr>NAFrameType</vt:lpstr>
      <vt:lpstr>Naples</vt:lpstr>
      <vt:lpstr>No</vt:lpstr>
      <vt:lpstr>OPTIONGROUP35</vt:lpstr>
      <vt:lpstr>OPTIONGROUP35_LK</vt:lpstr>
      <vt:lpstr>OPTIONGROUP36</vt:lpstr>
      <vt:lpstr>OPTIONGROUP36_LK</vt:lpstr>
      <vt:lpstr>OPTIONGROUP37</vt:lpstr>
      <vt:lpstr>OPTIONGROUP37_LK</vt:lpstr>
      <vt:lpstr>OPTIONGROUP38</vt:lpstr>
      <vt:lpstr>OPTIONGROUP38_LK</vt:lpstr>
      <vt:lpstr>ORDERVAR35</vt:lpstr>
      <vt:lpstr>ORDERVAR36</vt:lpstr>
      <vt:lpstr>ORDERVAR37</vt:lpstr>
      <vt:lpstr>ORDERVAR38</vt:lpstr>
      <vt:lpstr>Other_Bottom_Rail_Colour</vt:lpstr>
      <vt:lpstr>OtherControl</vt:lpstr>
      <vt:lpstr>Oval_Bottom_Rail</vt:lpstr>
      <vt:lpstr>Oval_Bottom_Rail_2</vt:lpstr>
      <vt:lpstr>Over_Roll_Or_Standard_Multi_Shade</vt:lpstr>
      <vt:lpstr>Over_Roll_Or_Standard_Roman_Shade</vt:lpstr>
      <vt:lpstr>Over_Roll_Or_Standard_Triple_Shade</vt:lpstr>
      <vt:lpstr>Pacific_Sales_Coordinator</vt:lpstr>
      <vt:lpstr>Panel_Glide_Blind_Product</vt:lpstr>
      <vt:lpstr>Panel_Glide_Bottom_Rail_Colour</vt:lpstr>
      <vt:lpstr>Panel_Glide_Sewn_In_Pocket</vt:lpstr>
      <vt:lpstr>Panel_Quantity</vt:lpstr>
      <vt:lpstr>Panel_Quantity_2</vt:lpstr>
      <vt:lpstr>Panel_Quantity_3</vt:lpstr>
      <vt:lpstr>Panel_Quantity_4</vt:lpstr>
      <vt:lpstr>Panel_Quantity_5</vt:lpstr>
      <vt:lpstr>Panel_Quantity_6</vt:lpstr>
      <vt:lpstr>Panel_Quantity_7</vt:lpstr>
      <vt:lpstr>Panel_Quantity_9</vt:lpstr>
      <vt:lpstr>Paris</vt:lpstr>
      <vt:lpstr>Paris_Coconut</vt:lpstr>
      <vt:lpstr>Pivot_Hinged_BFT</vt:lpstr>
      <vt:lpstr>Pivot_Hinged_Frame_Type</vt:lpstr>
      <vt:lpstr>Pivot_Hinged_TF</vt:lpstr>
      <vt:lpstr>Pivot_Hinges_Left_Right_Sides</vt:lpstr>
      <vt:lpstr>PivotHingeColour</vt:lpstr>
      <vt:lpstr>PivotHingedFauxwoodNew</vt:lpstr>
      <vt:lpstr>PivotHingedLayoutCodes</vt:lpstr>
      <vt:lpstr>PivotHingedNew</vt:lpstr>
      <vt:lpstr>PivotHingedTopBottomFrame</vt:lpstr>
      <vt:lpstr>Pompeii</vt:lpstr>
      <vt:lpstr>'25mm Aluminium Blinds'!Print_Area</vt:lpstr>
      <vt:lpstr>'50mm &amp; 63mm Venetian Blinds'!Print_Area</vt:lpstr>
      <vt:lpstr>'Cellular Blinds'!Print_Area</vt:lpstr>
      <vt:lpstr>'CMB Bay WS'!Print_Area</vt:lpstr>
      <vt:lpstr>'CMB Corner WS'!Print_Area</vt:lpstr>
      <vt:lpstr>Data!Print_Area</vt:lpstr>
      <vt:lpstr>'Panel Glide Blinds'!Print_Area</vt:lpstr>
      <vt:lpstr>'Roller Blinds'!Print_Area</vt:lpstr>
      <vt:lpstr>'Shutters Page 1'!Print_Area</vt:lpstr>
      <vt:lpstr>'Shutters Page 2'!Print_Area</vt:lpstr>
      <vt:lpstr>'Transition Blinds'!Print_Area</vt:lpstr>
      <vt:lpstr>'Vertical Blinds'!Print_Area</vt:lpstr>
      <vt:lpstr>PS50mm</vt:lpstr>
      <vt:lpstr>PS63mm</vt:lpstr>
      <vt:lpstr>PSColours50mm</vt:lpstr>
      <vt:lpstr>PSColours63mm</vt:lpstr>
      <vt:lpstr>PureWhiteW190</vt:lpstr>
      <vt:lpstr>PVC_89mm</vt:lpstr>
      <vt:lpstr>PVC89mm</vt:lpstr>
      <vt:lpstr>RECESS</vt:lpstr>
      <vt:lpstr>Roller_Blind_Product</vt:lpstr>
      <vt:lpstr>Roller_Pelmet_Colour</vt:lpstr>
      <vt:lpstr>RollerBlindsFabricAndColour</vt:lpstr>
      <vt:lpstr>RollerBracketType2</vt:lpstr>
      <vt:lpstr>RollerBracketTypeParis</vt:lpstr>
      <vt:lpstr>RollerChain_Left</vt:lpstr>
      <vt:lpstr>RollerChain_Motor_Left_Hand_5_Channel_Hand_Held</vt:lpstr>
      <vt:lpstr>RollerChain_Motor_Left_Hand_5_Channel_Wall_Mounted</vt:lpstr>
      <vt:lpstr>RollerChain_Motor_Left_Hand_Single_Channel_Hand_Held</vt:lpstr>
      <vt:lpstr>RollerChain_Motor_Left_Hand_Single_Channel_Wall_Mounted</vt:lpstr>
      <vt:lpstr>RollerChain_Motor_Left_Home_Automation</vt:lpstr>
      <vt:lpstr>RollerChain_Motor_Right_Hand_5_Channel_Hand_Held</vt:lpstr>
      <vt:lpstr>RollerChain_Motor_Right_Hand_5_Channel_Wall_Mounted</vt:lpstr>
      <vt:lpstr>RollerChain_Motor_Right_Hand_Single_Channel_Hand_Held</vt:lpstr>
      <vt:lpstr>RollerChain_Motor_Right_Hand_Single_Channel_Wall_Mounted</vt:lpstr>
      <vt:lpstr>RollerChain_Motor_Right_Home_Automation</vt:lpstr>
      <vt:lpstr>RollerChain_Right</vt:lpstr>
      <vt:lpstr>RollerChainColour_Left</vt:lpstr>
      <vt:lpstr>RollerChainColour_Left_Home_Automation</vt:lpstr>
      <vt:lpstr>RollerChainColour_Motor_Left_Hand_5_Channel_Hand_Held</vt:lpstr>
      <vt:lpstr>RollerChainColour_Motor_Left_Hand_5_Channel_Wall_Mounted</vt:lpstr>
      <vt:lpstr>RollerChainColour_Motor_Left_Hand_Single_Channel_Hand_Held</vt:lpstr>
      <vt:lpstr>RollerChainColour_Motor_Left_Hand_Single_Channel_Wall_Mounted</vt:lpstr>
      <vt:lpstr>RollerChainColour_Motor_Right_Hand_5_Channel_Hand_Held</vt:lpstr>
      <vt:lpstr>RollerChainColour_Motor_Right_Hand_5_Channel_Wall_Mounted</vt:lpstr>
      <vt:lpstr>RollerChainColour_Motor_Right_Hand_Single_Channel_Hand_Held</vt:lpstr>
      <vt:lpstr>RollerChainColour_Motor_Right_Hand_Single_Channel_Wall_Mounted</vt:lpstr>
      <vt:lpstr>RollerChainColour_Right</vt:lpstr>
      <vt:lpstr>RollerChainColour_Right_Home_Automation</vt:lpstr>
      <vt:lpstr>RollerControl</vt:lpstr>
      <vt:lpstr>RollerPelmetColourCommon</vt:lpstr>
      <vt:lpstr>RollerPelmetColourNo</vt:lpstr>
      <vt:lpstr>RollerPelmetColourStandard</vt:lpstr>
      <vt:lpstr>RollerPelmetInsertCommon</vt:lpstr>
      <vt:lpstr>RollerPelmetInsertNo</vt:lpstr>
      <vt:lpstr>RollerPelmetInsertStandard</vt:lpstr>
      <vt:lpstr>RollerUniversalPelmet</vt:lpstr>
      <vt:lpstr>Roman_Shade</vt:lpstr>
      <vt:lpstr>Roman_Shade_Finish</vt:lpstr>
      <vt:lpstr>Rome_Blockout</vt:lpstr>
      <vt:lpstr>Rome_Translucent</vt:lpstr>
      <vt:lpstr>S6_Colour</vt:lpstr>
      <vt:lpstr>S9_Colour</vt:lpstr>
      <vt:lpstr>Screw</vt:lpstr>
      <vt:lpstr>Sewn_In_Pocket</vt:lpstr>
      <vt:lpstr>ShippingPort</vt:lpstr>
      <vt:lpstr>ShutterAluminiumInsert</vt:lpstr>
      <vt:lpstr>ShutterEmail</vt:lpstr>
      <vt:lpstr>ShutterMaterial</vt:lpstr>
      <vt:lpstr>ShutterMaterialMS</vt:lpstr>
      <vt:lpstr>ShutterPhone</vt:lpstr>
      <vt:lpstr>Side_Winder_Bracket_Colour</vt:lpstr>
      <vt:lpstr>Slider_L_Bracket</vt:lpstr>
      <vt:lpstr>Sliding_BFT</vt:lpstr>
      <vt:lpstr>Sliding_Frame_108mm_x_35mm_Bi_Pass_Frame_Material</vt:lpstr>
      <vt:lpstr>Sliding_Frame_Type</vt:lpstr>
      <vt:lpstr>'Shutters Page 2'!Sliding_System</vt:lpstr>
      <vt:lpstr>Sliding_System</vt:lpstr>
      <vt:lpstr>Sliding_TF</vt:lpstr>
      <vt:lpstr>SlidingBoth</vt:lpstr>
      <vt:lpstr>SlidingClosed</vt:lpstr>
      <vt:lpstr>SlidingLayoutCodes</vt:lpstr>
      <vt:lpstr>'Shutters Page 2'!SlidingSystemNA</vt:lpstr>
      <vt:lpstr>SlidingSystemNA</vt:lpstr>
      <vt:lpstr>Small_Face_Fit_L_Frame_Material</vt:lpstr>
      <vt:lpstr>Small_L_Frame_Beaded_Option</vt:lpstr>
      <vt:lpstr>Small_L_Frame_Material</vt:lpstr>
      <vt:lpstr>Small_Tube</vt:lpstr>
      <vt:lpstr>Snow_White</vt:lpstr>
      <vt:lpstr>SOCDoubleHinged</vt:lpstr>
      <vt:lpstr>SOCFixed</vt:lpstr>
      <vt:lpstr>SOCHinged</vt:lpstr>
      <vt:lpstr>SOCNA</vt:lpstr>
      <vt:lpstr>SOCPivotHinged</vt:lpstr>
      <vt:lpstr>SOCSliding</vt:lpstr>
      <vt:lpstr>SOCTrackBiFold</vt:lpstr>
      <vt:lpstr>Special_Comments_1</vt:lpstr>
      <vt:lpstr>Special_Comments_2</vt:lpstr>
      <vt:lpstr>Special_Comments_3</vt:lpstr>
      <vt:lpstr>Special_Window_FauxwoodEco</vt:lpstr>
      <vt:lpstr>Special_Window_FauxwoodEcoAir</vt:lpstr>
      <vt:lpstr>Special_Window_Timber</vt:lpstr>
      <vt:lpstr>Special_Window_Timber_Laminated</vt:lpstr>
      <vt:lpstr>Spring_Catch</vt:lpstr>
      <vt:lpstr>Spring_Pin</vt:lpstr>
      <vt:lpstr>Stack</vt:lpstr>
      <vt:lpstr>Standard</vt:lpstr>
      <vt:lpstr>Standard_Hinge</vt:lpstr>
      <vt:lpstr>Standard_Hinge_Large_90mm</vt:lpstr>
      <vt:lpstr>Stepped_Rabbet_Hinge</vt:lpstr>
      <vt:lpstr>Store_Name</vt:lpstr>
      <vt:lpstr>STYLE35</vt:lpstr>
      <vt:lpstr>STYLE35_LK</vt:lpstr>
      <vt:lpstr>STYLE36</vt:lpstr>
      <vt:lpstr>STYLE36_LK</vt:lpstr>
      <vt:lpstr>STYLE37</vt:lpstr>
      <vt:lpstr>STYLE37_LK</vt:lpstr>
      <vt:lpstr>STYLE38</vt:lpstr>
      <vt:lpstr>STYLE38_LK</vt:lpstr>
      <vt:lpstr>Sunscreen</vt:lpstr>
      <vt:lpstr>Super_White</vt:lpstr>
      <vt:lpstr>Super_WhiteNA</vt:lpstr>
      <vt:lpstr>T_Post_Material</vt:lpstr>
      <vt:lpstr>Tiltrod</vt:lpstr>
      <vt:lpstr>Timber_Blade</vt:lpstr>
      <vt:lpstr>Timber_Double_Hinged_Frame_Type</vt:lpstr>
      <vt:lpstr>Timber_Double_Hinged_Frame_TypeOUT</vt:lpstr>
      <vt:lpstr>Timber_Eco</vt:lpstr>
      <vt:lpstr>Timber_Hinged_Frame_Type</vt:lpstr>
      <vt:lpstr>Timber_Hinged_Frame_TypeOUT</vt:lpstr>
      <vt:lpstr>Timber_Laminated_Blade</vt:lpstr>
      <vt:lpstr>TimberBlade</vt:lpstr>
      <vt:lpstr>TimberColours50mm</vt:lpstr>
      <vt:lpstr>TimberEcoExtras</vt:lpstr>
      <vt:lpstr>TimberEcoPaintedHingeNew</vt:lpstr>
      <vt:lpstr>TimberEcoStainedHingeNew</vt:lpstr>
      <vt:lpstr>TimberExtraOptionsStd</vt:lpstr>
      <vt:lpstr>TimberExtrasOptions</vt:lpstr>
      <vt:lpstr>TimberExtrasOptionsPainted</vt:lpstr>
      <vt:lpstr>TimberHardware</vt:lpstr>
      <vt:lpstr>TimberLaminateTiltrod</vt:lpstr>
      <vt:lpstr>TimberN</vt:lpstr>
      <vt:lpstr>TimberPaintedHangingStripHingeNew</vt:lpstr>
      <vt:lpstr>TimberRP</vt:lpstr>
      <vt:lpstr>TimberRPNo</vt:lpstr>
      <vt:lpstr>TimberSpecialComments</vt:lpstr>
      <vt:lpstr>TimberStainedHangingStripHingeNew</vt:lpstr>
      <vt:lpstr>TimberStile</vt:lpstr>
      <vt:lpstr>TimberT</vt:lpstr>
      <vt:lpstr>Top___Bottom_Rail__200mm_x_21mm___Standard_Profile</vt:lpstr>
      <vt:lpstr>Top_Bottom_Rail_137.5mm_x_21mm_Material</vt:lpstr>
      <vt:lpstr>Top_Bottom_Rail_200mm_x_21mm_Standard_Profile</vt:lpstr>
      <vt:lpstr>Top_Fixed_Pivot_Bracket</vt:lpstr>
      <vt:lpstr>Top_Track_Stopper_Block</vt:lpstr>
      <vt:lpstr>Top_Wheel</vt:lpstr>
      <vt:lpstr>TopBottom_Rail_137.5mm_x_21mmReinforced_Profile</vt:lpstr>
      <vt:lpstr>TopBottom_Rail_152mm_x_19mmReinforced_Profile</vt:lpstr>
      <vt:lpstr>TopBottomFrameAir</vt:lpstr>
      <vt:lpstr>TopFrame100mm</vt:lpstr>
      <vt:lpstr>TopFrame140mm</vt:lpstr>
      <vt:lpstr>TopFrame180mm</vt:lpstr>
      <vt:lpstr>TopFrame220mm</vt:lpstr>
      <vt:lpstr>TopFrameBullnoseZFrame</vt:lpstr>
      <vt:lpstr>TopFrameHangingStrip</vt:lpstr>
      <vt:lpstr>TopFrameLargeBullnoseZFrame</vt:lpstr>
      <vt:lpstr>TopFrameLargeFFLFrame</vt:lpstr>
      <vt:lpstr>TopFrameLargeLFrame</vt:lpstr>
      <vt:lpstr>TopFrameLargeZFrame</vt:lpstr>
      <vt:lpstr>TopFrameMediumFFLFrame</vt:lpstr>
      <vt:lpstr>TopFrameMediumFFLFrameFlat</vt:lpstr>
      <vt:lpstr>TopFrameMediumLFrame</vt:lpstr>
      <vt:lpstr>TopFrameNA</vt:lpstr>
      <vt:lpstr>TopFrameNoFrame</vt:lpstr>
      <vt:lpstr>TopFrameSmallFFLFrame</vt:lpstr>
      <vt:lpstr>TopFrameSmallLFrame</vt:lpstr>
      <vt:lpstr>TopFrameStandardZFrame</vt:lpstr>
      <vt:lpstr>TopFrameUChannel</vt:lpstr>
      <vt:lpstr>Track_Bi_Fold_BFT</vt:lpstr>
      <vt:lpstr>Track_Bi_Fold_Frame_Type</vt:lpstr>
      <vt:lpstr>Track_Bi_Fold_TF</vt:lpstr>
      <vt:lpstr>TrackBiFoldLayoutCodes</vt:lpstr>
      <vt:lpstr>Tracking_For_Bi_Fold_Sliding_Shutters_Material</vt:lpstr>
      <vt:lpstr>Transition_Range_Blinds_Product_Type</vt:lpstr>
      <vt:lpstr>Triple_Shade</vt:lpstr>
      <vt:lpstr>Triple_Shade_Finish</vt:lpstr>
      <vt:lpstr>Tube38mm</vt:lpstr>
      <vt:lpstr>Tube45mm</vt:lpstr>
      <vt:lpstr>U_Channel_40mm_x_15mm_Material</vt:lpstr>
      <vt:lpstr>U_Channel_40mm_x_25mm_Material</vt:lpstr>
      <vt:lpstr>U_Channel_40mm_x_53mm</vt:lpstr>
      <vt:lpstr>U_Channel_60mm_x_53mm</vt:lpstr>
      <vt:lpstr>VenetianProduct</vt:lpstr>
      <vt:lpstr>Venice</vt:lpstr>
      <vt:lpstr>Vertical_Extension_Bracket_Option</vt:lpstr>
      <vt:lpstr>Vertical_Extension_Bracket_Option_NA</vt:lpstr>
      <vt:lpstr>Vertical_Shade</vt:lpstr>
      <vt:lpstr>Vertical_Shade_Finish</vt:lpstr>
      <vt:lpstr>VerticalColours</vt:lpstr>
      <vt:lpstr>VerticalPelmentNo</vt:lpstr>
      <vt:lpstr>VerticalPelmentYes</vt:lpstr>
      <vt:lpstr>VerticalTrack</vt:lpstr>
      <vt:lpstr>WalnutW891</vt:lpstr>
      <vt:lpstr>White</vt:lpstr>
      <vt:lpstr>WhiteF186</vt:lpstr>
      <vt:lpstr>WhiteW105</vt:lpstr>
      <vt:lpstr>WindowType</vt:lpstr>
      <vt:lpstr>WindowTypeNA</vt:lpstr>
      <vt:lpstr>Yes</vt:lpstr>
      <vt:lpstr>Z_Sill_Frame_Material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Pacific Wholesale Distributors</dc:creator>
  <cp:lastModifiedBy>Tony Sinke</cp:lastModifiedBy>
  <cp:lastPrinted>2024-10-02T03:32:52Z</cp:lastPrinted>
  <dcterms:created xsi:type="dcterms:W3CDTF">2014-01-20T04:17:49Z</dcterms:created>
  <dcterms:modified xsi:type="dcterms:W3CDTF">2024-10-02T03:33:20Z</dcterms:modified>
</cp:coreProperties>
</file>